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elezione\"/>
    </mc:Choice>
  </mc:AlternateContent>
  <xr:revisionPtr revIDLastSave="0" documentId="8_{F5949A84-958B-4AD8-B719-938F39A19AD0}" xr6:coauthVersionLast="47" xr6:coauthVersionMax="47" xr10:uidLastSave="{00000000-0000-0000-0000-000000000000}"/>
  <bookViews>
    <workbookView xWindow="-28920" yWindow="-120" windowWidth="29040" windowHeight="15720" firstSheet="2" activeTab="2" xr2:uid="{00000000-000D-0000-FFFF-FFFF00000000}"/>
  </bookViews>
  <sheets>
    <sheet name="elencoschede" sheetId="4" state="hidden" r:id="rId1"/>
    <sheet name="schede" sheetId="1" state="hidden" r:id="rId2"/>
    <sheet name="Offerta tecnica" sheetId="3" r:id="rId3"/>
    <sheet name="Punteggi" sheetId="2" r:id="rId4"/>
    <sheet name="CHANGELOG" sheetId="5" state="hidden" r:id="rId5"/>
  </sheets>
  <definedNames>
    <definedName name="_xlnm._FilterDatabase" localSheetId="1" hidden="1">schede!$A$2:$AE$2</definedName>
    <definedName name="_lotti">schede!$D$3:$AE$6809</definedName>
    <definedName name="_postazioni">schede!$C$3:$AE$6809</definedName>
    <definedName name="_postazioni5">schede!$A$3:$AE$6809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9" i="1" l="1"/>
  <c r="Y3" i="1"/>
  <c r="A83" i="2" l="1"/>
  <c r="F18" i="2"/>
  <c r="F32" i="2" l="1"/>
  <c r="F33" i="2"/>
  <c r="F31" i="2"/>
  <c r="F29" i="2"/>
  <c r="F30" i="2"/>
  <c r="F19" i="2" l="1"/>
  <c r="F59" i="2"/>
  <c r="E67" i="2" s="1"/>
  <c r="F58" i="2"/>
  <c r="E66" i="2" s="1"/>
  <c r="F57" i="2"/>
  <c r="E65" i="2" s="1"/>
  <c r="F56" i="2"/>
  <c r="E64" i="2" s="1"/>
  <c r="F55" i="2"/>
  <c r="E63" i="2" s="1"/>
  <c r="F54" i="2"/>
  <c r="E62" i="2" s="1"/>
  <c r="F53" i="2"/>
  <c r="E61" i="2" s="1"/>
  <c r="I7" i="2"/>
  <c r="G18" i="2" s="1"/>
  <c r="B30" i="3"/>
  <c r="E56" i="3"/>
  <c r="J56" i="3" s="1"/>
  <c r="A2" i="2"/>
  <c r="D85" i="2" s="1"/>
  <c r="K49" i="2"/>
  <c r="K46" i="2"/>
  <c r="K48" i="2"/>
  <c r="K50" i="2"/>
  <c r="J50" i="2"/>
  <c r="J49" i="2"/>
  <c r="J48" i="2"/>
  <c r="J46" i="2"/>
  <c r="B33" i="3"/>
  <c r="B35" i="3"/>
  <c r="B37" i="3"/>
  <c r="B39" i="3"/>
  <c r="B41" i="3"/>
  <c r="B62" i="2"/>
  <c r="I8" i="2"/>
  <c r="G19" i="2" s="1"/>
  <c r="G59" i="2"/>
  <c r="G58" i="2"/>
  <c r="G57" i="2"/>
  <c r="G56" i="2"/>
  <c r="G55" i="2"/>
  <c r="G54" i="2"/>
  <c r="G53" i="2"/>
  <c r="E59" i="2"/>
  <c r="E58" i="2"/>
  <c r="E57" i="2"/>
  <c r="E56" i="2"/>
  <c r="E55" i="2"/>
  <c r="E54" i="2"/>
  <c r="E53" i="2"/>
  <c r="I12" i="2"/>
  <c r="I11" i="2"/>
  <c r="I10" i="2"/>
  <c r="I9" i="2"/>
  <c r="D21" i="2"/>
  <c r="D22" i="2"/>
  <c r="I13" i="2"/>
  <c r="C7" i="2"/>
  <c r="C8" i="2"/>
  <c r="C9" i="2"/>
  <c r="C10" i="2"/>
  <c r="C11" i="2"/>
  <c r="C12" i="2"/>
  <c r="C13" i="2"/>
  <c r="B65" i="3"/>
  <c r="B63" i="3"/>
  <c r="B61" i="3"/>
  <c r="B59" i="3"/>
  <c r="B57" i="3"/>
  <c r="J54" i="3"/>
  <c r="E54" i="3"/>
  <c r="E85" i="3" s="1"/>
  <c r="B85" i="3"/>
  <c r="B54" i="3"/>
  <c r="B19" i="3"/>
  <c r="B17" i="3"/>
  <c r="B15" i="3"/>
  <c r="B13" i="3"/>
  <c r="B11" i="3"/>
  <c r="B9" i="3"/>
  <c r="G33" i="2" l="1"/>
  <c r="G31" i="2"/>
  <c r="G32" i="2"/>
  <c r="G30" i="2"/>
  <c r="G29" i="2"/>
  <c r="I15" i="2"/>
  <c r="E87" i="3"/>
  <c r="E14" i="3"/>
  <c r="D65" i="3"/>
  <c r="E65" i="3" s="1"/>
  <c r="G13" i="3"/>
  <c r="A33" i="3"/>
  <c r="E10" i="3"/>
  <c r="H11" i="3"/>
  <c r="K13" i="3"/>
  <c r="F19" i="3"/>
  <c r="D84" i="3"/>
  <c r="E77" i="3"/>
  <c r="D39" i="3"/>
  <c r="F39" i="3" s="1"/>
  <c r="F9" i="3"/>
  <c r="L11" i="3"/>
  <c r="J19" i="3"/>
  <c r="I85" i="3"/>
  <c r="C18" i="2" s="1"/>
  <c r="J9" i="3"/>
  <c r="D17" i="3"/>
  <c r="D53" i="3"/>
  <c r="E20" i="3"/>
  <c r="M54" i="3"/>
  <c r="D11" i="3"/>
  <c r="M11" i="3"/>
  <c r="L13" i="3"/>
  <c r="G19" i="3"/>
  <c r="K19" i="3"/>
  <c r="E11" i="3"/>
  <c r="E17" i="3"/>
  <c r="D59" i="3"/>
  <c r="E59" i="3" s="1"/>
  <c r="D37" i="3"/>
  <c r="D9" i="3"/>
  <c r="H9" i="3"/>
  <c r="L9" i="3"/>
  <c r="F11" i="3"/>
  <c r="J11" i="3"/>
  <c r="D13" i="3"/>
  <c r="I13" i="3"/>
  <c r="M13" i="3"/>
  <c r="L17" i="3"/>
  <c r="H19" i="3"/>
  <c r="L19" i="3"/>
  <c r="E12" i="3"/>
  <c r="E19" i="3"/>
  <c r="D61" i="3"/>
  <c r="E61" i="3" s="1"/>
  <c r="D29" i="3"/>
  <c r="B7" i="2" s="1"/>
  <c r="B53" i="2" s="1"/>
  <c r="B61" i="2" s="1"/>
  <c r="J85" i="3"/>
  <c r="J87" i="3" s="1"/>
  <c r="G9" i="3"/>
  <c r="K9" i="3"/>
  <c r="I11" i="3"/>
  <c r="H13" i="3"/>
  <c r="H17" i="3"/>
  <c r="A41" i="3"/>
  <c r="F30" i="3"/>
  <c r="E9" i="3"/>
  <c r="I9" i="3"/>
  <c r="M9" i="3"/>
  <c r="G11" i="3"/>
  <c r="K11" i="3"/>
  <c r="F13" i="3"/>
  <c r="J13" i="3"/>
  <c r="D15" i="3"/>
  <c r="D19" i="3"/>
  <c r="I19" i="3"/>
  <c r="M19" i="3"/>
  <c r="E13" i="3"/>
  <c r="D57" i="3"/>
  <c r="E57" i="3" s="1"/>
  <c r="D63" i="3"/>
  <c r="E63" i="3" s="1"/>
  <c r="D41" i="3"/>
  <c r="F41" i="3" s="1"/>
  <c r="D33" i="3"/>
  <c r="F33" i="3" s="1"/>
  <c r="I17" i="3"/>
  <c r="M17" i="3"/>
  <c r="E18" i="3"/>
  <c r="F17" i="3"/>
  <c r="J17" i="3"/>
  <c r="A39" i="3"/>
  <c r="G17" i="3"/>
  <c r="K17" i="3"/>
  <c r="I15" i="3"/>
  <c r="D35" i="3"/>
  <c r="M15" i="3"/>
  <c r="E16" i="3"/>
  <c r="F15" i="3"/>
  <c r="J15" i="3"/>
  <c r="G15" i="3"/>
  <c r="K15" i="3"/>
  <c r="H15" i="3"/>
  <c r="L15" i="3"/>
  <c r="E15" i="3"/>
  <c r="A37" i="3"/>
  <c r="H40" i="2" l="1"/>
  <c r="H39" i="2"/>
  <c r="H38" i="2"/>
  <c r="H37" i="2"/>
  <c r="H36" i="2"/>
  <c r="H35" i="2"/>
  <c r="H42" i="2"/>
  <c r="H41" i="2"/>
  <c r="F34" i="2"/>
  <c r="B11" i="2"/>
  <c r="B57" i="2" s="1"/>
  <c r="B65" i="2" s="1"/>
  <c r="F37" i="3"/>
  <c r="J37" i="3" s="1"/>
  <c r="J33" i="3"/>
  <c r="F35" i="3"/>
  <c r="J35" i="3" s="1"/>
  <c r="J39" i="3"/>
  <c r="J41" i="3"/>
  <c r="M65" i="3"/>
  <c r="H45" i="2"/>
  <c r="I87" i="3"/>
  <c r="C19" i="2" s="1"/>
  <c r="G34" i="2" s="1"/>
  <c r="I39" i="3"/>
  <c r="J57" i="3"/>
  <c r="M57" i="3" s="1"/>
  <c r="F12" i="2"/>
  <c r="C58" i="2" s="1"/>
  <c r="H39" i="3"/>
  <c r="B12" i="2"/>
  <c r="B58" i="2" s="1"/>
  <c r="B66" i="2" s="1"/>
  <c r="J59" i="3"/>
  <c r="M59" i="3" s="1"/>
  <c r="B13" i="2"/>
  <c r="B59" i="2" s="1"/>
  <c r="B67" i="2" s="1"/>
  <c r="J65" i="3"/>
  <c r="B10" i="2"/>
  <c r="B56" i="2" s="1"/>
  <c r="B64" i="2" s="1"/>
  <c r="B9" i="2"/>
  <c r="B55" i="2" s="1"/>
  <c r="B63" i="2" s="1"/>
  <c r="J63" i="3"/>
  <c r="M63" i="3" s="1"/>
  <c r="A85" i="3"/>
  <c r="P85" i="3" s="1"/>
  <c r="D18" i="2"/>
  <c r="I30" i="3"/>
  <c r="I32" i="3"/>
  <c r="J30" i="3"/>
  <c r="H30" i="3"/>
  <c r="F7" i="2"/>
  <c r="J61" i="3"/>
  <c r="M61" i="3" s="1"/>
  <c r="F9" i="2"/>
  <c r="I33" i="3"/>
  <c r="H33" i="3"/>
  <c r="A87" i="3"/>
  <c r="B87" i="3" s="1"/>
  <c r="P87" i="3" s="1"/>
  <c r="D19" i="2"/>
  <c r="F13" i="2"/>
  <c r="I41" i="3"/>
  <c r="H41" i="3"/>
  <c r="M45" i="2" l="1"/>
  <c r="J18" i="2"/>
  <c r="K19" i="2" s="1"/>
  <c r="G26" i="2" s="1"/>
  <c r="C53" i="2"/>
  <c r="F38" i="2"/>
  <c r="G38" i="2"/>
  <c r="F36" i="2"/>
  <c r="G36" i="2"/>
  <c r="F41" i="2"/>
  <c r="G41" i="2"/>
  <c r="F39" i="2"/>
  <c r="G39" i="2"/>
  <c r="F37" i="2"/>
  <c r="G37" i="2"/>
  <c r="F35" i="2"/>
  <c r="G35" i="2"/>
  <c r="F42" i="2"/>
  <c r="G42" i="2"/>
  <c r="F40" i="2"/>
  <c r="G40" i="2"/>
  <c r="F10" i="2"/>
  <c r="C56" i="2" s="1"/>
  <c r="I35" i="3"/>
  <c r="H35" i="3"/>
  <c r="F11" i="2"/>
  <c r="I37" i="3"/>
  <c r="H37" i="3"/>
  <c r="K12" i="2"/>
  <c r="K7" i="2"/>
  <c r="K13" i="2"/>
  <c r="C59" i="2"/>
  <c r="F67" i="2" s="1"/>
  <c r="G67" i="2" s="1"/>
  <c r="K9" i="2"/>
  <c r="C55" i="2"/>
  <c r="K18" i="2" l="1"/>
  <c r="E24" i="2" s="1"/>
  <c r="K29" i="2" s="1"/>
  <c r="K10" i="2"/>
  <c r="F15" i="2"/>
  <c r="K15" i="2" s="1"/>
  <c r="M15" i="2" s="1"/>
  <c r="K11" i="2"/>
  <c r="C57" i="2"/>
  <c r="C68" i="2" s="1"/>
  <c r="F61" i="2" s="1"/>
  <c r="G25" i="2"/>
  <c r="G27" i="2" s="1"/>
  <c r="F62" i="2" l="1"/>
  <c r="F26" i="2"/>
  <c r="F65" i="2"/>
  <c r="G65" i="2" s="1"/>
  <c r="F63" i="2" l="1"/>
  <c r="G63" i="2" s="1"/>
  <c r="F66" i="2"/>
  <c r="G66" i="2" s="1"/>
  <c r="F64" i="2"/>
  <c r="G64" i="2" s="1"/>
  <c r="G62" i="2"/>
  <c r="G61" i="2"/>
  <c r="G68" i="2" l="1"/>
  <c r="M68" i="2" s="1"/>
  <c r="F25" i="2"/>
  <c r="F27" i="2" s="1"/>
  <c r="M28" i="2" s="1"/>
  <c r="M5" i="2" l="1"/>
  <c r="D8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Zambroni</author>
  </authors>
  <commentList>
    <comment ref="T27" authorId="0" shapeId="0" xr:uid="{D1FA25EE-1961-41C3-B862-3FD8A48D2036}">
      <text>
        <r>
          <rPr>
            <b/>
            <sz val="9"/>
            <color indexed="81"/>
            <rFont val="Tahoma"/>
            <family val="2"/>
          </rPr>
          <t>Alex Zambroni:</t>
        </r>
        <r>
          <rPr>
            <sz val="9"/>
            <color indexed="81"/>
            <rFont val="Tahoma"/>
            <family val="2"/>
          </rPr>
          <t xml:space="preserve">
mesi equivalenti</t>
        </r>
      </text>
    </comment>
  </commentList>
</comments>
</file>

<file path=xl/sharedStrings.xml><?xml version="1.0" encoding="utf-8"?>
<sst xmlns="http://schemas.openxmlformats.org/spreadsheetml/2006/main" count="443" uniqueCount="291">
  <si>
    <t>AAT</t>
  </si>
  <si>
    <t>Lotto</t>
  </si>
  <si>
    <t>Postazione Lotto</t>
  </si>
  <si>
    <t>Aree geografiche</t>
  </si>
  <si>
    <t>Postazione di stazionamento ordinario MSI
postazione di riferimento per inizio turno MSA</t>
  </si>
  <si>
    <t>Coordinate geografiche del Punto di Stazionamento Ottimale (MSB)</t>
  </si>
  <si>
    <t>//</t>
  </si>
  <si>
    <t>Riferimento topografico PdSO</t>
  </si>
  <si>
    <t>1^ distanza in kM dalla sede operativa al PSdO proposto per l'MSB</t>
  </si>
  <si>
    <t>2^ distanza massima accettabile in kM dalla sede operativa al PSdO proposto per l'MSB</t>
  </si>
  <si>
    <t>Tipo Mezzo MSA2</t>
  </si>
  <si>
    <t>Tipo Mezzo MSA1</t>
  </si>
  <si>
    <t>Tipo MezzoMSB</t>
  </si>
  <si>
    <t>Equipaggio a bordo</t>
  </si>
  <si>
    <t>Copertura oraria diurna</t>
  </si>
  <si>
    <t>Copertura oraria notturna</t>
  </si>
  <si>
    <t>Giorni della settimana</t>
  </si>
  <si>
    <t>Orari operatività</t>
  </si>
  <si>
    <t>Mesi operatività</t>
  </si>
  <si>
    <t>Turni notturni</t>
  </si>
  <si>
    <t>Attrezzatura bariatrica</t>
  </si>
  <si>
    <t>no</t>
  </si>
  <si>
    <t>SI</t>
  </si>
  <si>
    <t>Numero missioni presunte</t>
  </si>
  <si>
    <t>Km percorsi presunti</t>
  </si>
  <si>
    <t>Km per missione</t>
  </si>
  <si>
    <t>Tipo convenzione</t>
  </si>
  <si>
    <t>Giorni equivalenti anno</t>
  </si>
  <si>
    <t>Equipaggio equivalente</t>
  </si>
  <si>
    <t>Ore per coprire la postazione</t>
  </si>
  <si>
    <t>Numero di mezzi utilizzabili</t>
  </si>
  <si>
    <t xml:space="preserve">Punteggi qualità </t>
  </si>
  <si>
    <t>Punteggi Qualità</t>
  </si>
  <si>
    <t>Punteggio Totale</t>
  </si>
  <si>
    <t>Ore copertura anno</t>
  </si>
  <si>
    <t>Num MAX soggetti per postazione</t>
  </si>
  <si>
    <t>Ore copertura operatori volontari terzo settore</t>
  </si>
  <si>
    <t>Controllo</t>
  </si>
  <si>
    <t>% percentuale di copertura</t>
  </si>
  <si>
    <t>Personale</t>
  </si>
  <si>
    <t>MAX 2 Soggetti</t>
  </si>
  <si>
    <t>MAX 70 punti</t>
  </si>
  <si>
    <t>MAX 1 Soggetto</t>
  </si>
  <si>
    <t>Totale ore copertura media pesata</t>
  </si>
  <si>
    <t>Punti</t>
  </si>
  <si>
    <t>1° Distanza massima ammessa</t>
  </si>
  <si>
    <t>2° Distanza massima ammessa</t>
  </si>
  <si>
    <t>m di distanza dal punto ottimo individuato con Google MAPS</t>
  </si>
  <si>
    <t>Ore globali di copertura Postazione Soggetto</t>
  </si>
  <si>
    <t>Sede</t>
  </si>
  <si>
    <t>Punto di stazionamento 1 H24</t>
  </si>
  <si>
    <t>MAX 15 punti</t>
  </si>
  <si>
    <t>Punto di stazionamento 2 H24</t>
  </si>
  <si>
    <t>Punto di stazionamento 1</t>
  </si>
  <si>
    <t>Indirizzo:</t>
  </si>
  <si>
    <t>Punto di stazionamento 2</t>
  </si>
  <si>
    <t>Punteggio ricevuto postazione</t>
  </si>
  <si>
    <t>Ore percentuale selezione</t>
  </si>
  <si>
    <t>Punteggio pesato</t>
  </si>
  <si>
    <t>Distanza dal punto di stazionamento ottimale</t>
  </si>
  <si>
    <t>Post1</t>
  </si>
  <si>
    <t>Post2</t>
  </si>
  <si>
    <t>PUNTEGGIO</t>
  </si>
  <si>
    <t xml:space="preserve">Valore </t>
  </si>
  <si>
    <t>Coincidenza con il PdSO  e fino a 100 m dal PdSO</t>
  </si>
  <si>
    <t>Da 101 m a 200 m dal PdSO</t>
  </si>
  <si>
    <t>Da 101 m a 300 m dal PdSO</t>
  </si>
  <si>
    <t>Da 101 m a 400 m dal PdSO</t>
  </si>
  <si>
    <t>Da 101 m a 500 m dal PdSO</t>
  </si>
  <si>
    <t>Nei limiti della 1^ distanza massima dal PdSO (da 501 m in poi) o coincidente alla 1^ distanza massima prevista</t>
  </si>
  <si>
    <t>Superiore al 80% alla coincidenza con la 2^ distanza massima  dal PdSO</t>
  </si>
  <si>
    <t>Locali</t>
  </si>
  <si>
    <t>DOTAZIONI SEDE</t>
  </si>
  <si>
    <t>punteggio</t>
  </si>
  <si>
    <t>Autorimessa coperta, chiusa e riscaldata</t>
  </si>
  <si>
    <t>MAX 5 punti</t>
  </si>
  <si>
    <t>Autorimessa coperta, chiusa e non riscaldata</t>
  </si>
  <si>
    <t>Locali destinati al riposo del personale distinti fra uomini e donne</t>
  </si>
  <si>
    <t>Locale dedicato all’attività di training/formazione</t>
  </si>
  <si>
    <t>Locale dedicato al lavaggio del materiale sporco</t>
  </si>
  <si>
    <t>Targa veicolo</t>
  </si>
  <si>
    <t>Km percorso al giorno della presentazione offerta</t>
  </si>
  <si>
    <t>Data Prima immatircolazione</t>
  </si>
  <si>
    <t>Kilometraggio massimo</t>
  </si>
  <si>
    <t>Mezzi</t>
  </si>
  <si>
    <t>MAX 10 punti</t>
  </si>
  <si>
    <t>%</t>
  </si>
  <si>
    <t>Mezzo2</t>
  </si>
  <si>
    <t>Mezzo3</t>
  </si>
  <si>
    <t>Mezzo4</t>
  </si>
  <si>
    <t>Totale</t>
  </si>
  <si>
    <t>N.B. Un mezzo principale per postazione</t>
  </si>
  <si>
    <t>Punteggio mezzi principali</t>
  </si>
  <si>
    <t>KM/mesi</t>
  </si>
  <si>
    <t>Punti assegnati</t>
  </si>
  <si>
    <t xml:space="preserve"> da 0 a 30.000 Km </t>
  </si>
  <si>
    <t xml:space="preserve"> da 30.001 a 60.000 Km </t>
  </si>
  <si>
    <t xml:space="preserve"> da 60.001 a 105.000 Km </t>
  </si>
  <si>
    <t xml:space="preserve"> da 105.001 a 157.500 Km </t>
  </si>
  <si>
    <t xml:space="preserve"> da 157.501 a 180.000 Km </t>
  </si>
  <si>
    <t xml:space="preserve"> oltre 180.000 Km</t>
  </si>
  <si>
    <t>Elenco postazioni</t>
  </si>
  <si>
    <t>Elenco schede</t>
  </si>
  <si>
    <t>Soggetto</t>
  </si>
  <si>
    <t>Stazionamento di riferimento</t>
  </si>
  <si>
    <t>Sigla postazione</t>
  </si>
  <si>
    <t>Orari operatività particolari</t>
  </si>
  <si>
    <t>Ore richieste per coprire la postazione</t>
  </si>
  <si>
    <t>Ore propsote con personale volontario</t>
  </si>
  <si>
    <t>Ore coperte dal personale dipendente</t>
  </si>
  <si>
    <t>Percentuale uso volotariato</t>
  </si>
  <si>
    <t>Ore del personale utilizzato</t>
  </si>
  <si>
    <t>2) Indicare i soggetti partecipanti al lotto le ore uomo di volontariato impiegate per ogni singola postazione</t>
  </si>
  <si>
    <t>Soggetto 1</t>
  </si>
  <si>
    <t>3) Indicare i mezzi PRINCIPALI utilizzati dai soggetti partecipanti al lotto</t>
  </si>
  <si>
    <t>Mezzi principali utilizzati (Massimo un mezzo per ogni postazione)</t>
  </si>
  <si>
    <t>Km percorso al giorno della presentazione offerta MEZZO PRINCIPALE</t>
  </si>
  <si>
    <t>Età massima veicolo in anni 6 (pari a 365gg x 6)</t>
  </si>
  <si>
    <t>Età veicolo in anni</t>
  </si>
  <si>
    <t>4) Indicare la sede operativa della postazione capofila</t>
  </si>
  <si>
    <t>Stazionamento proposto</t>
  </si>
  <si>
    <t>Da:</t>
  </si>
  <si>
    <t>A:</t>
  </si>
  <si>
    <t>Opzione:</t>
  </si>
  <si>
    <t>Autorimessa</t>
  </si>
  <si>
    <t>u</t>
  </si>
  <si>
    <t>Compilare solo i campi che hanno una colorazone di fondo azzurra</t>
  </si>
  <si>
    <t>Selezionare il codice univoco della scheda a cui si vuole realizzare un'offerta</t>
  </si>
  <si>
    <t>Controllo per unicità</t>
  </si>
  <si>
    <t>NO</t>
  </si>
  <si>
    <t>Nessuna Autorimessa</t>
  </si>
  <si>
    <t>1) Scegli il codice della scheda da proporre</t>
  </si>
  <si>
    <t>Una volta selezionato il codice della scheda compilare solo i campi con sfondo azzurro</t>
  </si>
  <si>
    <t>Km percorsi presunti (Anno)</t>
  </si>
  <si>
    <t>Numero missioni presunte (Anno)</t>
  </si>
  <si>
    <t>- Inserire le ore di attività prevista dal personale volontario per la copertura delle ore delle postazioni</t>
  </si>
  <si>
    <t>- Ogni postazione può essere assegnata a un solo soggetto ad eccezione delle postazioni con copertura H24 con un massimo di due soggetti</t>
  </si>
  <si>
    <t>- Uno stesso soggetto può avere più postazioni.</t>
  </si>
  <si>
    <t>- Inserire i dati relativi ai mezzi principali (un mezzo principale max per ogni postazione): targa, kilometri e data prima immatricolazione.</t>
  </si>
  <si>
    <t xml:space="preserve">- I mezzi principali devono  avere età inferiore a 6 anni (6x365gg). </t>
  </si>
  <si>
    <t>- Nel caso di compartecipazione sulla postazione H24 ogni soggetto deve dichiarare un proprio mezzo principale.</t>
  </si>
  <si>
    <t>- Nel caso in cui il soggetto propone un mezzo nuovo, mettere come data di immatricolazione la data di compilazione della offerta</t>
  </si>
  <si>
    <t>- Allegare copia delle Carte di circolazione per ogni singolo mezzo (fronte e retro)</t>
  </si>
  <si>
    <t>- Inserire i dati relativi allo stazionamento della postazione principale (H24) proposta.</t>
  </si>
  <si>
    <t>- Nel caso di compartecipazione sulla postazione H24 ogni soggetto deve dichiarare il proprio stazionamento</t>
  </si>
  <si>
    <t>- Indicare per ogni stazionamento se è in possesso di alcuni requisti strutturali (Tipologia Autorimessa; Locali personale; Locali training; Locali lavaggio)</t>
  </si>
  <si>
    <t>Modalità del calcolo delle distanze geografiche rispetto al punto ottimale indicato nella scheda</t>
  </si>
  <si>
    <t>Riepilogo documenti da allegare all'offerta</t>
  </si>
  <si>
    <t>- Allegare questo documento firmato digitalmente</t>
  </si>
  <si>
    <t>- Allegare copia delle planimetrie dello stazionamento proposto e fotografie per ogni singolo locale specifico dichiarato</t>
  </si>
  <si>
    <t>AUTO</t>
  </si>
  <si>
    <t xml:space="preserve">Partenza: </t>
  </si>
  <si>
    <t>Giorno 13 - Gennaio 2021 alle ore 12:00</t>
  </si>
  <si>
    <t>- Inserire in Googlemaps maps.google.it il seguente valore per il calcolo delle distanze (Percorso: AUTO, Da indirizzo stazionamneto , A coordinate di riferimento)</t>
  </si>
  <si>
    <t>- Inserire la data di partenza 13 Gennaio 2021 alle ore 12:00 (Data scelta per uniformità di valutazione)</t>
  </si>
  <si>
    <t xml:space="preserve">Soggetto </t>
  </si>
  <si>
    <t>Postazione</t>
  </si>
  <si>
    <t>Coeff. Di rapporto</t>
  </si>
  <si>
    <t>POST1</t>
  </si>
  <si>
    <t>POST2</t>
  </si>
  <si>
    <t>Mezzo1A</t>
  </si>
  <si>
    <t>Mezzo1B</t>
  </si>
  <si>
    <t>Mezzo5</t>
  </si>
  <si>
    <t>Mezzo6</t>
  </si>
  <si>
    <t>Condivisa</t>
  </si>
  <si>
    <t>Indicare il punto di stazionamento proposto (Comune, via numero civico)</t>
  </si>
  <si>
    <t>Indirizzo dello stazionamento proposto (Comune, via e numero civico)</t>
  </si>
  <si>
    <t>- Allegare copia del calcolo delle distanze con Google MAPS (maps.google.com)</t>
  </si>
  <si>
    <t>L'Odv/Rete associativa in forma singola o in compartecipazione dichiarano, in caso di assegnazione, di impegnarsi ad attivare la postazione entro e non oltre 60 giorni dalla assegnazione, con il personale dichiarato, la postazione/i indicata/i ed i mezzi dichiarati, pena revoca della assegnazione.</t>
  </si>
  <si>
    <t>Indicare i riferimenti di ciascun soggetto che sottoscrive digitalmente  la proposta</t>
  </si>
  <si>
    <t xml:space="preserve">L'odv/Rete associativa </t>
  </si>
  <si>
    <r>
      <t xml:space="preserve">Riepilogo Scheda oggetto di selezione </t>
    </r>
    <r>
      <rPr>
        <b/>
        <sz val="16"/>
        <color rgb="FFFF0000"/>
        <rFont val="Arial"/>
        <family val="2"/>
      </rPr>
      <t xml:space="preserve"> (Vengono riportati i dati organizzativi della scheda scelta)</t>
    </r>
  </si>
  <si>
    <r>
      <rPr>
        <sz val="16"/>
        <color theme="1"/>
        <rFont val="Arial"/>
        <family val="2"/>
      </rPr>
      <t>Legenda:</t>
    </r>
    <r>
      <rPr>
        <b/>
        <sz val="16"/>
        <color theme="1"/>
        <rFont val="Arial"/>
        <family val="2"/>
      </rPr>
      <t xml:space="preserve"> Equipaggio a bordo 2/3u. (due persone di giorno e 3 di notte)  - (2 u. due persona)  - (3 u. persone)</t>
    </r>
  </si>
  <si>
    <r>
      <t>Soggetto 2:</t>
    </r>
    <r>
      <rPr>
        <b/>
        <sz val="16"/>
        <color rgb="FFFF0000"/>
        <rFont val="Arial"/>
        <family val="2"/>
      </rPr>
      <t xml:space="preserve"> (solo in caso di compartecipazione)</t>
    </r>
  </si>
  <si>
    <r>
      <t xml:space="preserve">- Insieme a questo documento </t>
    </r>
    <r>
      <rPr>
        <b/>
        <sz val="16"/>
        <color rgb="FF0070C0"/>
        <rFont val="Arial"/>
        <family val="2"/>
      </rPr>
      <t>allegare copia delle Carte di circolazione</t>
    </r>
    <r>
      <rPr>
        <b/>
        <sz val="16"/>
        <color rgb="FFFF0000"/>
        <rFont val="Arial"/>
        <family val="2"/>
      </rPr>
      <t xml:space="preserve"> per ogni singolo mezzo (fronte e retro)</t>
    </r>
  </si>
  <si>
    <r>
      <t xml:space="preserve">- Insieme a questo documento </t>
    </r>
    <r>
      <rPr>
        <b/>
        <sz val="16"/>
        <color rgb="FF0070C0"/>
        <rFont val="Arial"/>
        <family val="2"/>
      </rPr>
      <t>allegare copia delle planimetrie</t>
    </r>
    <r>
      <rPr>
        <b/>
        <sz val="16"/>
        <color rgb="FFFF0000"/>
        <rFont val="Arial"/>
        <family val="2"/>
      </rPr>
      <t xml:space="preserve"> dello stazionamento proposto e </t>
    </r>
    <r>
      <rPr>
        <b/>
        <sz val="16"/>
        <color rgb="FF0070C0"/>
        <rFont val="Arial"/>
        <family val="2"/>
      </rPr>
      <t>fotografie</t>
    </r>
    <r>
      <rPr>
        <b/>
        <sz val="16"/>
        <color rgb="FFFF0000"/>
        <rFont val="Arial"/>
        <family val="2"/>
      </rPr>
      <t xml:space="preserve"> per ogni singolo </t>
    </r>
    <r>
      <rPr>
        <b/>
        <sz val="16"/>
        <color rgb="FF0070C0"/>
        <rFont val="Arial"/>
        <family val="2"/>
      </rPr>
      <t>locale specifico dichiarato</t>
    </r>
  </si>
  <si>
    <t>e un valore pari a 1 (uno) kilometri percorsi (si chiede di allegare il preventivo/ordine di acquisto del veicolo)</t>
  </si>
  <si>
    <t xml:space="preserve">Nei limiti della 2^ distanza massima dal PdSO e comunque sino al 10% oltre la prima distanza massima </t>
  </si>
  <si>
    <t xml:space="preserve">Nei limiti della 2^ distanza massima dal PdSO e comunque sino al 20% oltre la prima distanza massima </t>
  </si>
  <si>
    <t xml:space="preserve">Nei limiti della 2^ distanza massima dal PdSO e comunque sino al 30% oltre la prima distanza massima </t>
  </si>
  <si>
    <t xml:space="preserve">Nei limiti della 2^ distanza massima dal PdSO e comunque sino al 40% oltre la prima distanza massima </t>
  </si>
  <si>
    <t xml:space="preserve">Nei limiti della 2^ distanza massima dal PdSO e comunque sino al 50% oltre la prima distanza massima </t>
  </si>
  <si>
    <t xml:space="preserve">Nei limiti della 2^ distanza massima dal PdSO e comunque sino al 60% oltre la prima distanza massima </t>
  </si>
  <si>
    <t xml:space="preserve">Nei limiti della 2^ distanza massima dal PdSO e comunque sino al 70% oltre la prima distanza massima </t>
  </si>
  <si>
    <t xml:space="preserve">Nei limiti della 2^ distanza massima dal PdSO e comunque sino al 80% oltre la prima distanza massima </t>
  </si>
  <si>
    <t>Commissione 3</t>
  </si>
  <si>
    <t>Commissione 4</t>
  </si>
  <si>
    <t>Commissione 1</t>
  </si>
  <si>
    <t>Commissione 2</t>
  </si>
  <si>
    <t>Commissione 5</t>
  </si>
  <si>
    <t>Luogo e Data</t>
  </si>
  <si>
    <t xml:space="preserve">Postazione: </t>
  </si>
  <si>
    <t>eventuali note:</t>
  </si>
  <si>
    <t>Domanda correttamente presentata</t>
  </si>
  <si>
    <t>Media delle due ambulanze</t>
  </si>
  <si>
    <t>Modifiche apportate alla REVISONE 5</t>
  </si>
  <si>
    <t>Cambiate le ore da coprire della scheda MB005/B2 da 8213 (calcolava il monte su 7 giorni al posto che su 5) a 5880H</t>
  </si>
  <si>
    <t>Cambiate le ore da coprire della scheda MB002/B2 da 8213 (calcolava il monte su 7 giorni al posto che su 5) a 5880H</t>
  </si>
  <si>
    <t>Cambiate le ore da coprire della scheda MB004/A2 da 8213 (calcolava il monte su 7 giorni al posto che su 5) a 5880H</t>
  </si>
  <si>
    <t>Cambiate le ore da coprire della scheda MB006/B2 da 8213 (calcolava il monte su 7 giorni al posto che su 5) a 5880H</t>
  </si>
  <si>
    <t>Scheda modificata</t>
  </si>
  <si>
    <t>BG003/A2</t>
  </si>
  <si>
    <t>MB002/B2</t>
  </si>
  <si>
    <t>MB004/A2</t>
  </si>
  <si>
    <t>MB005/B2</t>
  </si>
  <si>
    <t>MB006/B2</t>
  </si>
  <si>
    <t>BG015/A1</t>
  </si>
  <si>
    <t>Cambiate le ore di copertura diurna da 12 a 16 BG015/A1  (refuso) da 21900 a 26280H</t>
  </si>
  <si>
    <t>Refuso</t>
  </si>
  <si>
    <t>Eliminato il valore 65.000Km (refuso) nel modulo Offerta tecnica, comunque era cancellabile in tutte le revisioni</t>
  </si>
  <si>
    <t>Totale m di distanza pesato in base alle ore copertura</t>
  </si>
  <si>
    <t>BS003/B1</t>
  </si>
  <si>
    <t>Cambiata la seconda distanza massima da 5 a 8 su richiesta del Direttore della AAT 118 Brescia</t>
  </si>
  <si>
    <t>BS006/D1</t>
  </si>
  <si>
    <t>Cambiata la seconda distanza massima da 4 a 7 su richiesta del Direttore della AAT 118 Brescia</t>
  </si>
  <si>
    <t>BS010/B1</t>
  </si>
  <si>
    <t>Cambiata la seconda distanza massima da 6 a 8 su richiesta del Direttore della AAT 118 Brescia</t>
  </si>
  <si>
    <t>Modifica Generica</t>
  </si>
  <si>
    <t>Cambiate le ore da coprire della scheda BG003/A2 da 240H a 480H</t>
  </si>
  <si>
    <t>Per le postazioni MN02/B1, SO02/A1, SO02/B1, mettere distanza 1m., Nessuna autorimessa, NO Locali Riposo, No Formazione, No Area lavaggio</t>
  </si>
  <si>
    <t>Chiarimento</t>
  </si>
  <si>
    <t>VA006/F1</t>
  </si>
  <si>
    <t>Cambiata la seconda distanza massima da 4 a 5 su richiesta del Direttore della AAT 118 Varese, e riposizionato sul sedimio stradale il punto di riferimento GPS</t>
  </si>
  <si>
    <t>Modifiche apportate alla REVISONE 6</t>
  </si>
  <si>
    <t>Aggiunto le istruzioni di compilazione per le sedi fornite da AREU che danno diritto a 15 punti forfettari.</t>
  </si>
  <si>
    <t>Dicitura aggiunta: "Per le postazioni MN02/B1, SO02/A1, SO02/B1, mettere distanza 1m., Nessuna autorimessa, NO Locali Riposo, No Formazione, No Area lavaggio"</t>
  </si>
  <si>
    <t>Modifiche apportate alla REVISONE 7</t>
  </si>
  <si>
    <t>MI000/C1</t>
  </si>
  <si>
    <t>Cambiata la seconda distanza massima da 5 a 8 (Refuso)</t>
  </si>
  <si>
    <t>Modifiche apportate alla REVISONE 8</t>
  </si>
  <si>
    <t>MI000/P</t>
  </si>
  <si>
    <t>Configurato il foglio con la singola convenzione</t>
  </si>
  <si>
    <t>Offerta tecnico qualitativa proposta</t>
  </si>
  <si>
    <t>si</t>
  </si>
  <si>
    <t>3 u.</t>
  </si>
  <si>
    <t>Brescia</t>
  </si>
  <si>
    <t>BS-006</t>
  </si>
  <si>
    <t>BS-006/G1</t>
  </si>
  <si>
    <t>BS-006/G</t>
  </si>
  <si>
    <t>N 45° 33’ 01” E 10° 07’ 42”</t>
  </si>
  <si>
    <t>Via Cavallera</t>
  </si>
  <si>
    <t>BS-006/G2</t>
  </si>
  <si>
    <t>BS-006/G3</t>
  </si>
  <si>
    <t>BS-006/G4</t>
  </si>
  <si>
    <t>BS-006/G5</t>
  </si>
  <si>
    <t>BS-006/G6</t>
  </si>
  <si>
    <t>BS-012</t>
  </si>
  <si>
    <t>BS-012/C1</t>
  </si>
  <si>
    <t>BS-012/C</t>
  </si>
  <si>
    <t>N 45° 44’ 27” E 10° 14’ 15''</t>
  </si>
  <si>
    <t>loc. Tavernole sul Mella</t>
  </si>
  <si>
    <t>BS-012/C2</t>
  </si>
  <si>
    <t>BS-012/C3</t>
  </si>
  <si>
    <t>BS-012/C4</t>
  </si>
  <si>
    <t>BS-012/C5</t>
  </si>
  <si>
    <t>BS-012/C6</t>
  </si>
  <si>
    <t>2 u.</t>
  </si>
  <si>
    <t>Como</t>
  </si>
  <si>
    <t>CO-002/A1</t>
  </si>
  <si>
    <t>CO-002/A</t>
  </si>
  <si>
    <t>CO-002</t>
  </si>
  <si>
    <t>San Fedele D'Intelvi</t>
  </si>
  <si>
    <t>CO-002/A2</t>
  </si>
  <si>
    <t>N 45°58'01.30''  E 09°04'37.37"</t>
  </si>
  <si>
    <t>(Incrocio SP 13 e via G. Andreetti)</t>
  </si>
  <si>
    <t>Monza</t>
  </si>
  <si>
    <t>MB-007</t>
  </si>
  <si>
    <t>MB-007/B1</t>
  </si>
  <si>
    <t>MB-007/B</t>
  </si>
  <si>
    <t>N 45° 36' 51.08" E 09° 29' 55.07"</t>
  </si>
  <si>
    <t>(intersezione SP 2 con via E. Brasca)</t>
  </si>
  <si>
    <t>Sondrio</t>
  </si>
  <si>
    <t>SO-03</t>
  </si>
  <si>
    <t>SO-03/C1</t>
  </si>
  <si>
    <t>SO-03/C</t>
  </si>
  <si>
    <t>N 46° 16' 13.51"  E 09° 51' 25.16"</t>
  </si>
  <si>
    <t>(rotatoria in Località Vassalini)</t>
  </si>
  <si>
    <t>MB-007/B2</t>
  </si>
  <si>
    <t>MB-007/B3</t>
  </si>
  <si>
    <t>MB-007/B4</t>
  </si>
  <si>
    <t>MB-007/B5</t>
  </si>
  <si>
    <t>MB-007/B6</t>
  </si>
  <si>
    <t>CO-002/A4</t>
  </si>
  <si>
    <t>CO-002/A5</t>
  </si>
  <si>
    <t>CO-002/A6</t>
  </si>
  <si>
    <t>CO-002/A3</t>
  </si>
  <si>
    <t>SO-03/C2</t>
  </si>
  <si>
    <t>SO-03/C3</t>
  </si>
  <si>
    <t>SO-03/C4</t>
  </si>
  <si>
    <t>SO-03/C5</t>
  </si>
  <si>
    <t>SO-03/C6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</si>
</sst>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* #,##0.00\ _€_-;\-* #,##0.00\ _€_-;_-* &quot;-&quot;??\ _€_-;_-@_-"/>
    <numFmt numFmtId="165" formatCode="0\ &quot;missioni&quot;"/>
    <numFmt numFmtId="166" formatCode="0\ &quot;Km&quot;"/>
    <numFmt numFmtId="167" formatCode="0.0\ &quot;Km&quot;"/>
    <numFmt numFmtId="168" formatCode="0\ &quot;h.&quot;"/>
    <numFmt numFmtId="169" formatCode="0\ &quot;gg.&quot;"/>
    <numFmt numFmtId="170" formatCode="0.00\ &quot;pers. equip&quot;"/>
    <numFmt numFmtId="171" formatCode="0\ &quot;mezzi.&quot;"/>
    <numFmt numFmtId="172" formatCode="0\ &quot;h&quot;"/>
    <numFmt numFmtId="173" formatCode="0\ &quot;gg&quot;"/>
    <numFmt numFmtId="174" formatCode="0.0%"/>
    <numFmt numFmtId="175" formatCode="0\ &quot;m&quot;"/>
    <numFmt numFmtId="176" formatCode="0.0\ &quot;m&quot;"/>
    <numFmt numFmtId="177" formatCode="0.0"/>
    <numFmt numFmtId="178" formatCode="0\ &quot;punti massimi assegnati&quot;"/>
    <numFmt numFmtId="179" formatCode="_-* #,##0\ _€_-;\-* #,##0\ _€_-;_-* &quot;-&quot;??\ _€_-;_-@_-"/>
    <numFmt numFmtId="180" formatCode="dd/mm/yy;@"/>
    <numFmt numFmtId="181" formatCode="0\ &quot;mis.&quot;"/>
    <numFmt numFmtId="182" formatCode="d/m/yy;@"/>
    <numFmt numFmtId="183" formatCode="0&quot; Km&quot;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Calibri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alibri"/>
      <family val="2"/>
      <scheme val="minor"/>
    </font>
    <font>
      <sz val="11"/>
      <color rgb="FF000000"/>
      <name val="Century Gothic"/>
      <family val="2"/>
    </font>
    <font>
      <b/>
      <u/>
      <sz val="12"/>
      <color theme="1"/>
      <name val="Arial"/>
      <family val="2"/>
    </font>
    <font>
      <u/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6"/>
      <color rgb="FF0070C0"/>
      <name val="Arial"/>
      <family val="2"/>
    </font>
    <font>
      <sz val="16"/>
      <color rgb="FFFF0000"/>
      <name val="Arial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FF0000"/>
      <name val="Calibri"/>
      <family val="2"/>
      <scheme val="minor"/>
    </font>
    <font>
      <b/>
      <sz val="16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D9F1"/>
        <bgColor rgb="FFB9CDE5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4" fillId="0" borderId="0"/>
    <xf numFmtId="0" fontId="36" fillId="0" borderId="0"/>
  </cellStyleXfs>
  <cellXfs count="372">
    <xf numFmtId="0" fontId="0" fillId="0" borderId="0" xfId="0"/>
    <xf numFmtId="0" fontId="0" fillId="0" borderId="1" xfId="0" applyBorder="1" applyAlignment="1">
      <alignment horizontal="center"/>
    </xf>
    <xf numFmtId="0" fontId="25" fillId="8" borderId="19" xfId="0" applyFont="1" applyFill="1" applyBorder="1" applyAlignment="1">
      <alignment vertical="top"/>
    </xf>
    <xf numFmtId="0" fontId="25" fillId="0" borderId="0" xfId="0" applyFont="1" applyAlignment="1">
      <alignment vertical="top"/>
    </xf>
    <xf numFmtId="0" fontId="27" fillId="0" borderId="23" xfId="0" applyFont="1" applyBorder="1" applyAlignment="1">
      <alignment horizontal="left" vertical="center"/>
    </xf>
    <xf numFmtId="0" fontId="27" fillId="0" borderId="0" xfId="0" applyFont="1"/>
    <xf numFmtId="172" fontId="27" fillId="0" borderId="7" xfId="0" applyNumberFormat="1" applyFont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vertical="top"/>
    </xf>
    <xf numFmtId="0" fontId="27" fillId="8" borderId="22" xfId="0" applyFont="1" applyFill="1" applyBorder="1" applyAlignment="1">
      <alignment vertical="top"/>
    </xf>
    <xf numFmtId="0" fontId="25" fillId="8" borderId="19" xfId="0" applyFont="1" applyFill="1" applyBorder="1"/>
    <xf numFmtId="0" fontId="25" fillId="8" borderId="21" xfId="0" applyFont="1" applyFill="1" applyBorder="1"/>
    <xf numFmtId="0" fontId="26" fillId="0" borderId="23" xfId="0" applyFont="1" applyBorder="1" applyAlignment="1">
      <alignment vertical="top"/>
    </xf>
    <xf numFmtId="0" fontId="25" fillId="0" borderId="18" xfId="0" applyFont="1" applyBorder="1"/>
    <xf numFmtId="0" fontId="25" fillId="0" borderId="23" xfId="0" applyFont="1" applyBorder="1"/>
    <xf numFmtId="0" fontId="27" fillId="7" borderId="1" xfId="0" applyFont="1" applyFill="1" applyBorder="1" applyAlignment="1" applyProtection="1">
      <alignment horizontal="left" vertical="center"/>
      <protection locked="0"/>
    </xf>
    <xf numFmtId="0" fontId="26" fillId="0" borderId="23" xfId="0" applyFont="1" applyBorder="1"/>
    <xf numFmtId="0" fontId="27" fillId="0" borderId="23" xfId="0" applyFont="1" applyBorder="1"/>
    <xf numFmtId="164" fontId="28" fillId="2" borderId="35" xfId="1" applyFont="1" applyFill="1" applyBorder="1" applyAlignment="1" applyProtection="1">
      <alignment horizontal="center" vertical="center" textRotation="90" wrapText="1"/>
    </xf>
    <xf numFmtId="164" fontId="28" fillId="2" borderId="1" xfId="1" applyFont="1" applyFill="1" applyBorder="1" applyAlignment="1" applyProtection="1">
      <alignment horizontal="center" vertical="center" textRotation="90" wrapText="1"/>
    </xf>
    <xf numFmtId="0" fontId="26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179" fontId="27" fillId="0" borderId="0" xfId="1" applyNumberFormat="1" applyFont="1" applyBorder="1" applyAlignment="1" applyProtection="1">
      <alignment horizontal="center" vertical="center"/>
    </xf>
    <xf numFmtId="0" fontId="25" fillId="0" borderId="13" xfId="0" applyFont="1" applyBorder="1"/>
    <xf numFmtId="0" fontId="25" fillId="0" borderId="14" xfId="0" applyFont="1" applyBorder="1"/>
    <xf numFmtId="0" fontId="25" fillId="0" borderId="15" xfId="0" applyFont="1" applyBorder="1"/>
    <xf numFmtId="0" fontId="26" fillId="0" borderId="23" xfId="0" quotePrefix="1" applyFont="1" applyBorder="1" applyAlignment="1">
      <alignment vertical="top"/>
    </xf>
    <xf numFmtId="164" fontId="28" fillId="2" borderId="4" xfId="1" applyFont="1" applyFill="1" applyBorder="1" applyAlignment="1" applyProtection="1">
      <alignment horizontal="center" vertical="center" textRotation="90" wrapText="1"/>
    </xf>
    <xf numFmtId="0" fontId="27" fillId="0" borderId="2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27" fillId="9" borderId="1" xfId="0" applyFont="1" applyFill="1" applyBorder="1" applyAlignment="1" applyProtection="1">
      <alignment vertical="center" wrapText="1"/>
      <protection locked="0"/>
    </xf>
    <xf numFmtId="172" fontId="27" fillId="9" borderId="1" xfId="0" applyNumberFormat="1" applyFont="1" applyFill="1" applyBorder="1" applyAlignment="1" applyProtection="1">
      <alignment horizontal="center" vertical="center"/>
      <protection locked="0"/>
    </xf>
    <xf numFmtId="174" fontId="27" fillId="0" borderId="30" xfId="2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>
      <alignment vertical="center" wrapText="1"/>
    </xf>
    <xf numFmtId="172" fontId="27" fillId="0" borderId="1" xfId="0" applyNumberFormat="1" applyFont="1" applyBorder="1" applyAlignment="1" applyProtection="1">
      <alignment horizontal="center" vertical="center"/>
      <protection locked="0"/>
    </xf>
    <xf numFmtId="174" fontId="27" fillId="0" borderId="34" xfId="2" applyNumberFormat="1" applyFont="1" applyFill="1" applyBorder="1" applyAlignment="1" applyProtection="1">
      <alignment horizontal="center" vertical="center"/>
    </xf>
    <xf numFmtId="174" fontId="27" fillId="0" borderId="29" xfId="2" applyNumberFormat="1" applyFont="1" applyFill="1" applyBorder="1" applyAlignment="1" applyProtection="1">
      <alignment horizontal="center" vertical="center"/>
    </xf>
    <xf numFmtId="0" fontId="25" fillId="0" borderId="14" xfId="0" applyFont="1" applyBorder="1" applyAlignment="1">
      <alignment horizontal="center"/>
    </xf>
    <xf numFmtId="166" fontId="27" fillId="0" borderId="7" xfId="0" applyNumberFormat="1" applyFont="1" applyBorder="1" applyAlignment="1">
      <alignment vertical="center" wrapText="1"/>
    </xf>
    <xf numFmtId="180" fontId="27" fillId="9" borderId="1" xfId="0" applyNumberFormat="1" applyFont="1" applyFill="1" applyBorder="1" applyAlignment="1" applyProtection="1">
      <alignment horizontal="center" vertical="center"/>
      <protection locked="0"/>
    </xf>
    <xf numFmtId="164" fontId="27" fillId="0" borderId="1" xfId="1" applyFont="1" applyFill="1" applyBorder="1" applyAlignment="1" applyProtection="1">
      <alignment vertical="center"/>
    </xf>
    <xf numFmtId="166" fontId="27" fillId="0" borderId="1" xfId="0" applyNumberFormat="1" applyFont="1" applyBorder="1" applyAlignment="1">
      <alignment horizontal="center" vertical="center" wrapText="1"/>
    </xf>
    <xf numFmtId="0" fontId="27" fillId="0" borderId="31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27" fillId="0" borderId="1" xfId="0" applyFont="1" applyBorder="1" applyAlignment="1" applyProtection="1">
      <alignment vertical="center" wrapText="1"/>
      <protection locked="0"/>
    </xf>
    <xf numFmtId="180" fontId="27" fillId="9" borderId="30" xfId="0" applyNumberFormat="1" applyFont="1" applyFill="1" applyBorder="1" applyAlignment="1" applyProtection="1">
      <alignment horizontal="center" vertical="center"/>
      <protection locked="0"/>
    </xf>
    <xf numFmtId="0" fontId="27" fillId="0" borderId="23" xfId="0" quotePrefix="1" applyFont="1" applyBorder="1" applyAlignment="1">
      <alignment vertical="top"/>
    </xf>
    <xf numFmtId="0" fontId="26" fillId="0" borderId="23" xfId="0" quotePrefix="1" applyFont="1" applyBorder="1"/>
    <xf numFmtId="0" fontId="30" fillId="0" borderId="0" xfId="0" applyFont="1"/>
    <xf numFmtId="0" fontId="27" fillId="0" borderId="2" xfId="0" applyFont="1" applyBorder="1" applyAlignment="1">
      <alignment wrapText="1"/>
    </xf>
    <xf numFmtId="0" fontId="25" fillId="0" borderId="7" xfId="0" applyFont="1" applyBorder="1"/>
    <xf numFmtId="0" fontId="27" fillId="0" borderId="3" xfId="0" applyFont="1" applyBorder="1" applyAlignment="1">
      <alignment vertical="center" wrapText="1"/>
    </xf>
    <xf numFmtId="0" fontId="27" fillId="0" borderId="34" xfId="0" applyFont="1" applyBorder="1" applyAlignment="1">
      <alignment horizontal="left" vertical="center" wrapText="1"/>
    </xf>
    <xf numFmtId="167" fontId="27" fillId="0" borderId="34" xfId="2" applyNumberFormat="1" applyFont="1" applyFill="1" applyBorder="1" applyAlignment="1" applyProtection="1">
      <alignment horizontal="center" vertical="center"/>
    </xf>
    <xf numFmtId="176" fontId="27" fillId="9" borderId="34" xfId="0" applyNumberFormat="1" applyFont="1" applyFill="1" applyBorder="1" applyAlignment="1" applyProtection="1">
      <alignment horizontal="center" vertical="center"/>
      <protection locked="0"/>
    </xf>
    <xf numFmtId="0" fontId="27" fillId="9" borderId="34" xfId="0" applyFont="1" applyFill="1" applyBorder="1" applyAlignment="1" applyProtection="1">
      <alignment horizontal="center" vertical="center" wrapText="1"/>
      <protection locked="0"/>
    </xf>
    <xf numFmtId="174" fontId="27" fillId="0" borderId="39" xfId="2" applyNumberFormat="1" applyFont="1" applyFill="1" applyBorder="1" applyAlignment="1" applyProtection="1">
      <alignment vertical="center"/>
    </xf>
    <xf numFmtId="172" fontId="27" fillId="0" borderId="7" xfId="0" applyNumberFormat="1" applyFont="1" applyBorder="1" applyAlignment="1">
      <alignment vertical="center" wrapText="1"/>
    </xf>
    <xf numFmtId="0" fontId="25" fillId="0" borderId="51" xfId="0" applyFont="1" applyBorder="1"/>
    <xf numFmtId="0" fontId="27" fillId="0" borderId="42" xfId="0" applyFont="1" applyBorder="1" applyAlignment="1">
      <alignment vertical="center" wrapText="1"/>
    </xf>
    <xf numFmtId="167" fontId="27" fillId="0" borderId="42" xfId="2" applyNumberFormat="1" applyFont="1" applyFill="1" applyBorder="1" applyAlignment="1" applyProtection="1">
      <alignment horizontal="center" vertical="center"/>
    </xf>
    <xf numFmtId="176" fontId="27" fillId="9" borderId="42" xfId="0" applyNumberFormat="1" applyFont="1" applyFill="1" applyBorder="1" applyAlignment="1" applyProtection="1">
      <alignment horizontal="center" vertical="center"/>
      <protection locked="0"/>
    </xf>
    <xf numFmtId="0" fontId="27" fillId="9" borderId="42" xfId="0" applyFont="1" applyFill="1" applyBorder="1" applyAlignment="1" applyProtection="1">
      <alignment horizontal="center" vertical="center" wrapText="1"/>
      <protection locked="0"/>
    </xf>
    <xf numFmtId="174" fontId="27" fillId="0" borderId="52" xfId="2" applyNumberFormat="1" applyFont="1" applyFill="1" applyBorder="1" applyAlignment="1" applyProtection="1">
      <alignment vertical="center"/>
    </xf>
    <xf numFmtId="0" fontId="27" fillId="0" borderId="0" xfId="0" quotePrefix="1" applyFont="1" applyAlignment="1">
      <alignment vertical="top"/>
    </xf>
    <xf numFmtId="178" fontId="25" fillId="0" borderId="23" xfId="0" applyNumberFormat="1" applyFont="1" applyBorder="1" applyAlignment="1">
      <alignment horizontal="left" wrapText="1"/>
    </xf>
    <xf numFmtId="0" fontId="27" fillId="0" borderId="0" xfId="0" applyFont="1" applyAlignment="1">
      <alignment horizontal="left" vertical="top" wrapText="1"/>
    </xf>
    <xf numFmtId="0" fontId="31" fillId="0" borderId="0" xfId="0" applyFont="1" applyAlignment="1">
      <alignment vertical="center"/>
    </xf>
    <xf numFmtId="0" fontId="0" fillId="0" borderId="0" xfId="0" applyAlignment="1" applyProtection="1">
      <alignment horizontal="left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23" fillId="2" borderId="1" xfId="0" applyFont="1" applyFill="1" applyBorder="1" applyAlignment="1" applyProtection="1">
      <alignment horizontal="left" vertical="center" wrapText="1"/>
      <protection hidden="1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164" fontId="6" fillId="2" borderId="1" xfId="1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left" wrapText="1"/>
      <protection hidden="1"/>
    </xf>
    <xf numFmtId="0" fontId="0" fillId="0" borderId="0" xfId="0" applyAlignment="1" applyProtection="1">
      <alignment wrapText="1"/>
      <protection hidden="1"/>
    </xf>
    <xf numFmtId="168" fontId="11" fillId="4" borderId="1" xfId="0" applyNumberFormat="1" applyFont="1" applyFill="1" applyBorder="1" applyAlignment="1" applyProtection="1">
      <alignment horizontal="center" vertical="center"/>
      <protection hidden="1"/>
    </xf>
    <xf numFmtId="169" fontId="11" fillId="4" borderId="1" xfId="0" applyNumberFormat="1" applyFont="1" applyFill="1" applyBorder="1" applyAlignment="1" applyProtection="1">
      <alignment horizontal="center" vertical="center"/>
      <protection hidden="1"/>
    </xf>
    <xf numFmtId="170" fontId="11" fillId="4" borderId="1" xfId="0" applyNumberFormat="1" applyFont="1" applyFill="1" applyBorder="1" applyAlignment="1" applyProtection="1">
      <alignment horizontal="center" vertical="center"/>
      <protection hidden="1"/>
    </xf>
    <xf numFmtId="171" fontId="11" fillId="4" borderId="1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0" fillId="0" borderId="17" xfId="0" applyBorder="1" applyProtection="1">
      <protection hidden="1"/>
    </xf>
    <xf numFmtId="0" fontId="2" fillId="8" borderId="22" xfId="0" applyFont="1" applyFill="1" applyBorder="1" applyAlignment="1" applyProtection="1">
      <alignment vertical="center"/>
      <protection hidden="1"/>
    </xf>
    <xf numFmtId="0" fontId="2" fillId="8" borderId="19" xfId="0" applyFont="1" applyFill="1" applyBorder="1" applyAlignment="1" applyProtection="1">
      <alignment vertical="center" wrapText="1"/>
      <protection hidden="1"/>
    </xf>
    <xf numFmtId="0" fontId="2" fillId="8" borderId="21" xfId="0" applyFont="1" applyFill="1" applyBorder="1" applyAlignment="1" applyProtection="1">
      <alignment vertical="center" wrapText="1"/>
      <protection hidden="1"/>
    </xf>
    <xf numFmtId="0" fontId="13" fillId="0" borderId="16" xfId="0" applyFont="1" applyBorder="1" applyProtection="1">
      <protection hidden="1"/>
    </xf>
    <xf numFmtId="0" fontId="2" fillId="0" borderId="22" xfId="0" applyFont="1" applyBorder="1" applyProtection="1">
      <protection hidden="1"/>
    </xf>
    <xf numFmtId="172" fontId="0" fillId="0" borderId="21" xfId="0" applyNumberFormat="1" applyBorder="1" applyAlignment="1" applyProtection="1">
      <alignment horizontal="center" vertical="center"/>
      <protection hidden="1"/>
    </xf>
    <xf numFmtId="0" fontId="0" fillId="0" borderId="22" xfId="0" applyBorder="1" applyProtection="1">
      <protection hidden="1"/>
    </xf>
    <xf numFmtId="0" fontId="0" fillId="0" borderId="19" xfId="0" applyBorder="1" applyProtection="1">
      <protection hidden="1"/>
    </xf>
    <xf numFmtId="172" fontId="0" fillId="0" borderId="21" xfId="0" applyNumberFormat="1" applyBorder="1" applyProtection="1">
      <protection hidden="1"/>
    </xf>
    <xf numFmtId="172" fontId="0" fillId="0" borderId="23" xfId="0" applyNumberFormat="1" applyBorder="1" applyProtection="1">
      <protection hidden="1"/>
    </xf>
    <xf numFmtId="174" fontId="0" fillId="0" borderId="18" xfId="2" applyNumberFormat="1" applyFont="1" applyBorder="1" applyProtection="1">
      <protection hidden="1"/>
    </xf>
    <xf numFmtId="0" fontId="2" fillId="0" borderId="13" xfId="0" applyFont="1" applyBorder="1" applyProtection="1">
      <protection hidden="1"/>
    </xf>
    <xf numFmtId="172" fontId="0" fillId="0" borderId="15" xfId="0" applyNumberFormat="1" applyBorder="1" applyAlignment="1" applyProtection="1">
      <alignment horizontal="center" vertical="center"/>
      <protection hidden="1"/>
    </xf>
    <xf numFmtId="0" fontId="0" fillId="0" borderId="13" xfId="0" applyBorder="1" applyProtection="1">
      <protection hidden="1"/>
    </xf>
    <xf numFmtId="0" fontId="0" fillId="0" borderId="25" xfId="0" applyBorder="1" applyProtection="1">
      <protection hidden="1"/>
    </xf>
    <xf numFmtId="172" fontId="0" fillId="0" borderId="26" xfId="0" applyNumberFormat="1" applyBorder="1" applyProtection="1">
      <protection hidden="1"/>
    </xf>
    <xf numFmtId="0" fontId="0" fillId="0" borderId="16" xfId="0" applyBorder="1" applyProtection="1">
      <protection hidden="1"/>
    </xf>
    <xf numFmtId="0" fontId="2" fillId="0" borderId="9" xfId="0" applyFont="1" applyBorder="1" applyProtection="1">
      <protection hidden="1"/>
    </xf>
    <xf numFmtId="172" fontId="0" fillId="0" borderId="10" xfId="0" applyNumberFormat="1" applyBorder="1" applyAlignment="1" applyProtection="1">
      <alignment horizontal="center" vertical="center"/>
      <protection hidden="1"/>
    </xf>
    <xf numFmtId="0" fontId="0" fillId="0" borderId="9" xfId="0" applyBorder="1" applyProtection="1">
      <protection hidden="1"/>
    </xf>
    <xf numFmtId="0" fontId="0" fillId="0" borderId="11" xfId="0" applyBorder="1" applyProtection="1">
      <protection hidden="1"/>
    </xf>
    <xf numFmtId="172" fontId="0" fillId="0" borderId="10" xfId="0" applyNumberFormat="1" applyBorder="1" applyProtection="1">
      <protection hidden="1"/>
    </xf>
    <xf numFmtId="0" fontId="2" fillId="0" borderId="9" xfId="0" applyFont="1" applyBorder="1" applyAlignment="1" applyProtection="1">
      <alignment horizontal="left"/>
      <protection hidden="1"/>
    </xf>
    <xf numFmtId="0" fontId="0" fillId="0" borderId="23" xfId="0" applyBorder="1" applyProtection="1">
      <protection hidden="1"/>
    </xf>
    <xf numFmtId="0" fontId="0" fillId="0" borderId="18" xfId="0" applyBorder="1" applyProtection="1">
      <protection hidden="1"/>
    </xf>
    <xf numFmtId="0" fontId="2" fillId="0" borderId="14" xfId="0" applyFont="1" applyBorder="1" applyProtection="1">
      <protection hidden="1"/>
    </xf>
    <xf numFmtId="0" fontId="0" fillId="0" borderId="14" xfId="0" applyBorder="1" applyProtection="1">
      <protection hidden="1"/>
    </xf>
    <xf numFmtId="172" fontId="2" fillId="0" borderId="14" xfId="0" applyNumberFormat="1" applyFont="1" applyBorder="1" applyProtection="1">
      <protection hidden="1"/>
    </xf>
    <xf numFmtId="10" fontId="2" fillId="0" borderId="15" xfId="2" applyNumberFormat="1" applyFont="1" applyFill="1" applyBorder="1" applyProtection="1">
      <protection hidden="1"/>
    </xf>
    <xf numFmtId="0" fontId="16" fillId="0" borderId="23" xfId="0" applyFont="1" applyBorder="1" applyAlignment="1" applyProtection="1">
      <alignment horizontal="right"/>
      <protection hidden="1"/>
    </xf>
    <xf numFmtId="0" fontId="0" fillId="8" borderId="19" xfId="0" applyFill="1" applyBorder="1" applyProtection="1">
      <protection hidden="1"/>
    </xf>
    <xf numFmtId="0" fontId="0" fillId="8" borderId="19" xfId="0" applyFill="1" applyBorder="1" applyAlignment="1" applyProtection="1">
      <alignment horizontal="center" vertical="center" wrapText="1"/>
      <protection hidden="1"/>
    </xf>
    <xf numFmtId="0" fontId="0" fillId="8" borderId="19" xfId="0" applyFill="1" applyBorder="1" applyAlignment="1" applyProtection="1">
      <alignment wrapText="1"/>
      <protection hidden="1"/>
    </xf>
    <xf numFmtId="0" fontId="0" fillId="8" borderId="21" xfId="0" applyFill="1" applyBorder="1" applyAlignment="1" applyProtection="1">
      <alignment wrapText="1"/>
      <protection hidden="1"/>
    </xf>
    <xf numFmtId="0" fontId="2" fillId="0" borderId="0" xfId="0" applyFont="1" applyProtection="1">
      <protection hidden="1"/>
    </xf>
    <xf numFmtId="167" fontId="0" fillId="0" borderId="17" xfId="2" applyNumberFormat="1" applyFont="1" applyFill="1" applyBorder="1" applyProtection="1">
      <protection hidden="1"/>
    </xf>
    <xf numFmtId="174" fontId="0" fillId="0" borderId="17" xfId="2" applyNumberFormat="1" applyFont="1" applyFill="1" applyBorder="1" applyProtection="1">
      <protection hidden="1"/>
    </xf>
    <xf numFmtId="164" fontId="0" fillId="0" borderId="0" xfId="1" applyFont="1" applyFill="1" applyBorder="1" applyProtection="1">
      <protection hidden="1"/>
    </xf>
    <xf numFmtId="167" fontId="0" fillId="0" borderId="8" xfId="2" applyNumberFormat="1" applyFont="1" applyFill="1" applyBorder="1" applyProtection="1">
      <protection hidden="1"/>
    </xf>
    <xf numFmtId="175" fontId="0" fillId="2" borderId="10" xfId="0" applyNumberFormat="1" applyFill="1" applyBorder="1" applyProtection="1">
      <protection hidden="1"/>
    </xf>
    <xf numFmtId="0" fontId="0" fillId="0" borderId="12" xfId="0" applyBorder="1" applyProtection="1">
      <protection hidden="1"/>
    </xf>
    <xf numFmtId="176" fontId="0" fillId="0" borderId="0" xfId="0" applyNumberFormat="1" applyProtection="1">
      <protection hidden="1"/>
    </xf>
    <xf numFmtId="172" fontId="0" fillId="0" borderId="0" xfId="0" applyNumberFormat="1" applyProtection="1">
      <protection hidden="1"/>
    </xf>
    <xf numFmtId="173" fontId="0" fillId="0" borderId="0" xfId="0" applyNumberFormat="1" applyProtection="1">
      <protection hidden="1"/>
    </xf>
    <xf numFmtId="172" fontId="0" fillId="0" borderId="0" xfId="0" applyNumberFormat="1" applyAlignment="1" applyProtection="1">
      <alignment horizontal="right"/>
      <protection hidden="1"/>
    </xf>
    <xf numFmtId="176" fontId="2" fillId="8" borderId="0" xfId="0" applyNumberFormat="1" applyFont="1" applyFill="1" applyProtection="1">
      <protection hidden="1"/>
    </xf>
    <xf numFmtId="172" fontId="2" fillId="0" borderId="0" xfId="0" applyNumberFormat="1" applyFont="1" applyProtection="1">
      <protection hidden="1"/>
    </xf>
    <xf numFmtId="176" fontId="2" fillId="0" borderId="0" xfId="0" applyNumberFormat="1" applyFont="1" applyProtection="1">
      <protection hidden="1"/>
    </xf>
    <xf numFmtId="0" fontId="0" fillId="0" borderId="19" xfId="0" applyBorder="1" applyAlignment="1" applyProtection="1">
      <alignment horizontal="right"/>
      <protection hidden="1"/>
    </xf>
    <xf numFmtId="0" fontId="0" fillId="0" borderId="21" xfId="0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174" fontId="0" fillId="0" borderId="0" xfId="0" applyNumberFormat="1" applyProtection="1">
      <protection hidden="1"/>
    </xf>
    <xf numFmtId="177" fontId="0" fillId="8" borderId="0" xfId="0" applyNumberForma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right"/>
      <protection hidden="1"/>
    </xf>
    <xf numFmtId="2" fontId="16" fillId="0" borderId="0" xfId="0" applyNumberFormat="1" applyFont="1" applyAlignment="1" applyProtection="1">
      <alignment horizontal="right"/>
      <protection hidden="1"/>
    </xf>
    <xf numFmtId="164" fontId="0" fillId="8" borderId="0" xfId="1" applyFont="1" applyFill="1" applyBorder="1" applyAlignment="1" applyProtection="1">
      <alignment horizontal="center"/>
      <protection hidden="1"/>
    </xf>
    <xf numFmtId="176" fontId="2" fillId="0" borderId="18" xfId="0" applyNumberFormat="1" applyFont="1" applyBorder="1" applyProtection="1">
      <protection hidden="1"/>
    </xf>
    <xf numFmtId="164" fontId="0" fillId="8" borderId="14" xfId="1" applyFont="1" applyFill="1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0" fontId="13" fillId="0" borderId="23" xfId="0" applyFont="1" applyBorder="1" applyProtection="1">
      <protection hidden="1"/>
    </xf>
    <xf numFmtId="0" fontId="19" fillId="0" borderId="22" xfId="0" applyFont="1" applyBorder="1" applyAlignment="1" applyProtection="1">
      <alignment horizontal="justify"/>
      <protection hidden="1"/>
    </xf>
    <xf numFmtId="0" fontId="0" fillId="0" borderId="19" xfId="0" applyBorder="1" applyAlignment="1" applyProtection="1">
      <alignment horizontal="left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/>
      <protection hidden="1"/>
    </xf>
    <xf numFmtId="164" fontId="0" fillId="8" borderId="46" xfId="1" applyFont="1" applyFill="1" applyBorder="1" applyAlignment="1" applyProtection="1">
      <alignment horizontal="center"/>
      <protection hidden="1"/>
    </xf>
    <xf numFmtId="164" fontId="0" fillId="2" borderId="47" xfId="1" applyFont="1" applyFill="1" applyBorder="1" applyAlignment="1" applyProtection="1">
      <alignment horizontal="right"/>
      <protection hidden="1"/>
    </xf>
    <xf numFmtId="164" fontId="0" fillId="2" borderId="48" xfId="1" applyFont="1" applyFill="1" applyBorder="1" applyAlignment="1" applyProtection="1">
      <alignment horizontal="right"/>
      <protection hidden="1"/>
    </xf>
    <xf numFmtId="164" fontId="0" fillId="8" borderId="50" xfId="1" applyFont="1" applyFill="1" applyBorder="1" applyAlignment="1" applyProtection="1">
      <alignment horizontal="center"/>
      <protection hidden="1"/>
    </xf>
    <xf numFmtId="164" fontId="0" fillId="2" borderId="44" xfId="1" applyFont="1" applyFill="1" applyBorder="1" applyAlignment="1" applyProtection="1">
      <alignment horizontal="right"/>
      <protection hidden="1"/>
    </xf>
    <xf numFmtId="164" fontId="0" fillId="2" borderId="49" xfId="1" applyFont="1" applyFill="1" applyBorder="1" applyAlignment="1" applyProtection="1">
      <alignment horizontal="right"/>
      <protection hidden="1"/>
    </xf>
    <xf numFmtId="164" fontId="0" fillId="8" borderId="9" xfId="1" applyFont="1" applyFill="1" applyBorder="1" applyAlignment="1" applyProtection="1">
      <alignment horizontal="center"/>
      <protection hidden="1"/>
    </xf>
    <xf numFmtId="164" fontId="0" fillId="2" borderId="11" xfId="1" applyFont="1" applyFill="1" applyBorder="1" applyAlignment="1" applyProtection="1">
      <alignment horizontal="right"/>
      <protection hidden="1"/>
    </xf>
    <xf numFmtId="164" fontId="0" fillId="2" borderId="10" xfId="1" applyFont="1" applyFill="1" applyBorder="1" applyAlignment="1" applyProtection="1">
      <alignment horizontal="right"/>
      <protection hidden="1"/>
    </xf>
    <xf numFmtId="0" fontId="0" fillId="8" borderId="22" xfId="0" applyFill="1" applyBorder="1" applyProtection="1">
      <protection hidden="1"/>
    </xf>
    <xf numFmtId="0" fontId="0" fillId="8" borderId="21" xfId="0" applyFill="1" applyBorder="1" applyAlignment="1" applyProtection="1">
      <alignment horizontal="center" vertical="center" wrapText="1"/>
      <protection hidden="1"/>
    </xf>
    <xf numFmtId="0" fontId="13" fillId="0" borderId="22" xfId="0" applyFont="1" applyBorder="1" applyProtection="1">
      <protection hidden="1"/>
    </xf>
    <xf numFmtId="0" fontId="2" fillId="0" borderId="17" xfId="0" applyFont="1" applyBorder="1" applyProtection="1">
      <protection hidden="1"/>
    </xf>
    <xf numFmtId="172" fontId="0" fillId="0" borderId="17" xfId="0" applyNumberFormat="1" applyBorder="1" applyAlignment="1" applyProtection="1">
      <alignment vertical="center"/>
      <protection hidden="1"/>
    </xf>
    <xf numFmtId="0" fontId="0" fillId="2" borderId="22" xfId="0" applyFill="1" applyBorder="1" applyAlignment="1" applyProtection="1">
      <alignment horizontal="left"/>
      <protection hidden="1"/>
    </xf>
    <xf numFmtId="166" fontId="0" fillId="2" borderId="19" xfId="0" applyNumberFormat="1" applyFill="1" applyBorder="1" applyProtection="1">
      <protection hidden="1"/>
    </xf>
    <xf numFmtId="182" fontId="0" fillId="2" borderId="21" xfId="0" applyNumberFormat="1" applyFill="1" applyBorder="1" applyProtection="1">
      <protection hidden="1"/>
    </xf>
    <xf numFmtId="164" fontId="0" fillId="0" borderId="22" xfId="1" applyFont="1" applyBorder="1" applyAlignment="1" applyProtection="1">
      <protection hidden="1"/>
    </xf>
    <xf numFmtId="164" fontId="0" fillId="0" borderId="19" xfId="1" applyFont="1" applyBorder="1" applyAlignment="1" applyProtection="1">
      <alignment horizontal="center"/>
      <protection hidden="1"/>
    </xf>
    <xf numFmtId="166" fontId="0" fillId="0" borderId="19" xfId="1" applyNumberFormat="1" applyFont="1" applyBorder="1" applyAlignment="1" applyProtection="1">
      <alignment horizontal="center"/>
      <protection hidden="1"/>
    </xf>
    <xf numFmtId="166" fontId="0" fillId="0" borderId="21" xfId="1" applyNumberFormat="1" applyFont="1" applyBorder="1" applyAlignment="1" applyProtection="1">
      <alignment horizontal="center"/>
      <protection hidden="1"/>
    </xf>
    <xf numFmtId="0" fontId="2" fillId="0" borderId="12" xfId="0" applyFont="1" applyBorder="1" applyProtection="1">
      <protection hidden="1"/>
    </xf>
    <xf numFmtId="172" fontId="0" fillId="0" borderId="12" xfId="0" applyNumberFormat="1" applyBorder="1" applyAlignment="1" applyProtection="1">
      <alignment vertical="center"/>
      <protection hidden="1"/>
    </xf>
    <xf numFmtId="0" fontId="0" fillId="2" borderId="27" xfId="0" applyFill="1" applyBorder="1" applyAlignment="1" applyProtection="1">
      <alignment horizontal="left"/>
      <protection hidden="1"/>
    </xf>
    <xf numFmtId="166" fontId="0" fillId="2" borderId="25" xfId="0" applyNumberFormat="1" applyFill="1" applyBorder="1" applyProtection="1">
      <protection hidden="1"/>
    </xf>
    <xf numFmtId="182" fontId="0" fillId="2" borderId="26" xfId="0" applyNumberFormat="1" applyFill="1" applyBorder="1" applyProtection="1">
      <protection hidden="1"/>
    </xf>
    <xf numFmtId="164" fontId="0" fillId="0" borderId="23" xfId="1" applyFont="1" applyBorder="1" applyAlignment="1" applyProtection="1">
      <protection hidden="1"/>
    </xf>
    <xf numFmtId="164" fontId="0" fillId="0" borderId="0" xfId="1" applyFont="1" applyBorder="1" applyAlignment="1" applyProtection="1">
      <alignment horizontal="center"/>
      <protection hidden="1"/>
    </xf>
    <xf numFmtId="166" fontId="0" fillId="0" borderId="0" xfId="1" applyNumberFormat="1" applyFont="1" applyBorder="1" applyAlignment="1" applyProtection="1">
      <alignment horizontal="center"/>
      <protection hidden="1"/>
    </xf>
    <xf numFmtId="166" fontId="0" fillId="0" borderId="18" xfId="1" applyNumberFormat="1" applyFont="1" applyBorder="1" applyAlignment="1" applyProtection="1">
      <alignment horizontal="center"/>
      <protection hidden="1"/>
    </xf>
    <xf numFmtId="172" fontId="0" fillId="0" borderId="8" xfId="0" applyNumberFormat="1" applyBorder="1" applyAlignment="1" applyProtection="1">
      <alignment vertical="center"/>
      <protection hidden="1"/>
    </xf>
    <xf numFmtId="0" fontId="0" fillId="2" borderId="9" xfId="0" applyFill="1" applyBorder="1" applyAlignment="1" applyProtection="1">
      <alignment horizontal="left"/>
      <protection hidden="1"/>
    </xf>
    <xf numFmtId="166" fontId="0" fillId="2" borderId="11" xfId="0" applyNumberFormat="1" applyFill="1" applyBorder="1" applyProtection="1">
      <protection hidden="1"/>
    </xf>
    <xf numFmtId="182" fontId="0" fillId="2" borderId="10" xfId="0" applyNumberFormat="1" applyFill="1" applyBorder="1" applyProtection="1">
      <protection hidden="1"/>
    </xf>
    <xf numFmtId="0" fontId="2" fillId="0" borderId="8" xfId="0" applyFont="1" applyBorder="1" applyAlignment="1" applyProtection="1">
      <alignment horizontal="left"/>
      <protection hidden="1"/>
    </xf>
    <xf numFmtId="164" fontId="0" fillId="0" borderId="13" xfId="1" applyFont="1" applyBorder="1" applyAlignment="1" applyProtection="1">
      <protection hidden="1"/>
    </xf>
    <xf numFmtId="164" fontId="0" fillId="0" borderId="14" xfId="1" applyFont="1" applyBorder="1" applyAlignment="1" applyProtection="1">
      <alignment horizontal="center"/>
      <protection hidden="1"/>
    </xf>
    <xf numFmtId="166" fontId="0" fillId="0" borderId="14" xfId="1" applyNumberFormat="1" applyFont="1" applyBorder="1" applyAlignment="1" applyProtection="1">
      <alignment horizontal="center"/>
      <protection hidden="1"/>
    </xf>
    <xf numFmtId="166" fontId="0" fillId="0" borderId="15" xfId="1" applyNumberFormat="1" applyFont="1" applyBorder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left"/>
      <protection hidden="1"/>
    </xf>
    <xf numFmtId="2" fontId="0" fillId="0" borderId="21" xfId="0" applyNumberFormat="1" applyBorder="1" applyProtection="1">
      <protection hidden="1"/>
    </xf>
    <xf numFmtId="0" fontId="2" fillId="0" borderId="12" xfId="0" applyFont="1" applyBorder="1" applyAlignment="1" applyProtection="1">
      <alignment horizontal="left"/>
      <protection hidden="1"/>
    </xf>
    <xf numFmtId="0" fontId="0" fillId="0" borderId="9" xfId="0" applyBorder="1" applyAlignment="1" applyProtection="1">
      <alignment horizontal="center"/>
      <protection hidden="1"/>
    </xf>
    <xf numFmtId="9" fontId="0" fillId="0" borderId="11" xfId="2" applyFont="1" applyFill="1" applyBorder="1" applyProtection="1">
      <protection hidden="1"/>
    </xf>
    <xf numFmtId="2" fontId="0" fillId="0" borderId="10" xfId="0" applyNumberFormat="1" applyBorder="1" applyProtection="1">
      <protection hidden="1"/>
    </xf>
    <xf numFmtId="2" fontId="0" fillId="0" borderId="18" xfId="0" applyNumberFormat="1" applyBorder="1" applyProtection="1">
      <protection hidden="1"/>
    </xf>
    <xf numFmtId="0" fontId="0" fillId="0" borderId="13" xfId="0" applyBorder="1" applyAlignment="1" applyProtection="1">
      <alignment horizontal="center"/>
      <protection hidden="1"/>
    </xf>
    <xf numFmtId="9" fontId="0" fillId="0" borderId="14" xfId="2" applyFont="1" applyFill="1" applyBorder="1" applyProtection="1">
      <protection hidden="1"/>
    </xf>
    <xf numFmtId="2" fontId="0" fillId="0" borderId="15" xfId="0" applyNumberFormat="1" applyBorder="1" applyProtection="1">
      <protection hidden="1"/>
    </xf>
    <xf numFmtId="172" fontId="2" fillId="0" borderId="14" xfId="0" applyNumberFormat="1" applyFont="1" applyBorder="1" applyAlignment="1" applyProtection="1">
      <alignment horizontal="right"/>
      <protection hidden="1"/>
    </xf>
    <xf numFmtId="2" fontId="2" fillId="0" borderId="14" xfId="0" applyNumberFormat="1" applyFont="1" applyBorder="1" applyProtection="1">
      <protection hidden="1"/>
    </xf>
    <xf numFmtId="0" fontId="2" fillId="0" borderId="19" xfId="0" applyFont="1" applyBorder="1" applyProtection="1">
      <protection hidden="1"/>
    </xf>
    <xf numFmtId="0" fontId="20" fillId="0" borderId="22" xfId="0" applyFont="1" applyBorder="1" applyAlignment="1" applyProtection="1">
      <alignment horizontal="left" wrapText="1"/>
      <protection hidden="1"/>
    </xf>
    <xf numFmtId="0" fontId="20" fillId="0" borderId="21" xfId="0" applyFont="1" applyBorder="1" applyAlignment="1" applyProtection="1">
      <alignment horizontal="left" wrapText="1"/>
      <protection hidden="1"/>
    </xf>
    <xf numFmtId="0" fontId="21" fillId="0" borderId="23" xfId="0" applyFont="1" applyBorder="1" applyAlignment="1" applyProtection="1">
      <alignment horizontal="left" wrapText="1"/>
      <protection hidden="1"/>
    </xf>
    <xf numFmtId="0" fontId="22" fillId="0" borderId="18" xfId="0" applyFont="1" applyBorder="1" applyAlignment="1" applyProtection="1">
      <alignment horizontal="center" wrapText="1"/>
      <protection hidden="1"/>
    </xf>
    <xf numFmtId="0" fontId="21" fillId="0" borderId="13" xfId="0" applyFont="1" applyBorder="1" applyAlignment="1" applyProtection="1">
      <alignment horizontal="left" wrapText="1"/>
      <protection hidden="1"/>
    </xf>
    <xf numFmtId="0" fontId="22" fillId="0" borderId="15" xfId="0" applyFont="1" applyBorder="1" applyAlignment="1" applyProtection="1">
      <alignment horizontal="center" wrapText="1"/>
      <protection hidden="1"/>
    </xf>
    <xf numFmtId="0" fontId="17" fillId="0" borderId="14" xfId="0" applyFont="1" applyBorder="1" applyAlignment="1" applyProtection="1">
      <alignment horizontal="left"/>
      <protection hidden="1"/>
    </xf>
    <xf numFmtId="0" fontId="27" fillId="9" borderId="3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 wrapText="1"/>
      <protection hidden="1"/>
    </xf>
    <xf numFmtId="175" fontId="0" fillId="0" borderId="0" xfId="0" applyNumberFormat="1" applyAlignment="1" applyProtection="1">
      <alignment horizontal="center" wrapText="1"/>
      <protection hidden="1"/>
    </xf>
    <xf numFmtId="175" fontId="0" fillId="0" borderId="14" xfId="0" applyNumberFormat="1" applyBorder="1" applyAlignment="1" applyProtection="1">
      <alignment horizontal="center" wrapText="1"/>
      <protection hidden="1"/>
    </xf>
    <xf numFmtId="0" fontId="0" fillId="2" borderId="14" xfId="0" applyFill="1" applyBorder="1" applyAlignment="1" applyProtection="1">
      <alignment horizontal="center" wrapText="1"/>
      <protection hidden="1"/>
    </xf>
    <xf numFmtId="0" fontId="0" fillId="0" borderId="24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23" xfId="0" applyBorder="1" applyAlignment="1" applyProtection="1">
      <alignment horizontal="right"/>
      <protection hidden="1"/>
    </xf>
    <xf numFmtId="0" fontId="0" fillId="0" borderId="53" xfId="0" applyBorder="1" applyProtection="1">
      <protection hidden="1"/>
    </xf>
    <xf numFmtId="0" fontId="13" fillId="0" borderId="46" xfId="0" applyFont="1" applyBorder="1" applyProtection="1">
      <protection hidden="1"/>
    </xf>
    <xf numFmtId="0" fontId="13" fillId="0" borderId="47" xfId="0" applyFont="1" applyBorder="1" applyProtection="1">
      <protection hidden="1"/>
    </xf>
    <xf numFmtId="164" fontId="13" fillId="0" borderId="47" xfId="1" applyFont="1" applyBorder="1" applyProtection="1">
      <protection hidden="1"/>
    </xf>
    <xf numFmtId="0" fontId="0" fillId="0" borderId="48" xfId="0" applyBorder="1" applyProtection="1">
      <protection hidden="1"/>
    </xf>
    <xf numFmtId="0" fontId="0" fillId="0" borderId="54" xfId="0" applyBorder="1" applyProtection="1">
      <protection hidden="1"/>
    </xf>
    <xf numFmtId="0" fontId="0" fillId="0" borderId="55" xfId="0" applyBorder="1" applyProtection="1">
      <protection hidden="1"/>
    </xf>
    <xf numFmtId="0" fontId="0" fillId="0" borderId="56" xfId="0" applyBorder="1" applyProtection="1">
      <protection hidden="1"/>
    </xf>
    <xf numFmtId="2" fontId="13" fillId="0" borderId="0" xfId="0" applyNumberFormat="1" applyFont="1" applyProtection="1">
      <protection hidden="1"/>
    </xf>
    <xf numFmtId="0" fontId="15" fillId="0" borderId="22" xfId="0" applyFont="1" applyBorder="1" applyAlignment="1" applyProtection="1">
      <alignment vertical="top"/>
      <protection hidden="1"/>
    </xf>
    <xf numFmtId="0" fontId="17" fillId="0" borderId="13" xfId="0" applyFont="1" applyBorder="1" applyAlignment="1" applyProtection="1">
      <alignment horizontal="right"/>
      <protection hidden="1"/>
    </xf>
    <xf numFmtId="2" fontId="18" fillId="0" borderId="14" xfId="0" applyNumberFormat="1" applyFont="1" applyBorder="1" applyAlignment="1" applyProtection="1">
      <alignment horizontal="right"/>
      <protection hidden="1"/>
    </xf>
    <xf numFmtId="0" fontId="7" fillId="0" borderId="23" xfId="0" applyFont="1" applyBorder="1" applyAlignment="1" applyProtection="1">
      <alignment horizontal="right"/>
      <protection hidden="1"/>
    </xf>
    <xf numFmtId="0" fontId="9" fillId="0" borderId="23" xfId="0" applyFont="1" applyBorder="1" applyAlignment="1" applyProtection="1">
      <alignment horizontal="right"/>
      <protection hidden="1"/>
    </xf>
    <xf numFmtId="9" fontId="1" fillId="0" borderId="11" xfId="2" applyFont="1" applyFill="1" applyBorder="1" applyProtection="1">
      <protection hidden="1"/>
    </xf>
    <xf numFmtId="0" fontId="2" fillId="0" borderId="0" xfId="0" applyFont="1"/>
    <xf numFmtId="0" fontId="7" fillId="0" borderId="0" xfId="0" applyFont="1"/>
    <xf numFmtId="0" fontId="34" fillId="0" borderId="0" xfId="0" applyFont="1"/>
    <xf numFmtId="0" fontId="27" fillId="9" borderId="1" xfId="0" applyFont="1" applyFill="1" applyBorder="1" applyAlignment="1" applyProtection="1">
      <alignment horizontal="center" vertical="center"/>
      <protection locked="0"/>
    </xf>
    <xf numFmtId="0" fontId="35" fillId="10" borderId="1" xfId="0" applyFont="1" applyFill="1" applyBorder="1" applyAlignment="1" applyProtection="1">
      <alignment vertical="center" wrapText="1"/>
      <protection locked="0"/>
    </xf>
    <xf numFmtId="0" fontId="0" fillId="2" borderId="22" xfId="0" applyFill="1" applyBorder="1" applyAlignment="1" applyProtection="1">
      <alignment horizontal="center" wrapText="1"/>
      <protection hidden="1"/>
    </xf>
    <xf numFmtId="0" fontId="0" fillId="2" borderId="21" xfId="0" applyFill="1" applyBorder="1" applyAlignment="1" applyProtection="1">
      <alignment horizontal="center" wrapText="1"/>
      <protection hidden="1"/>
    </xf>
    <xf numFmtId="0" fontId="0" fillId="2" borderId="23" xfId="0" applyFill="1" applyBorder="1" applyAlignment="1" applyProtection="1">
      <alignment horizontal="center" wrapText="1"/>
      <protection hidden="1"/>
    </xf>
    <xf numFmtId="0" fontId="0" fillId="2" borderId="18" xfId="0" applyFill="1" applyBorder="1" applyAlignment="1" applyProtection="1">
      <alignment horizontal="center" wrapText="1"/>
      <protection hidden="1"/>
    </xf>
    <xf numFmtId="0" fontId="0" fillId="2" borderId="13" xfId="0" applyFill="1" applyBorder="1" applyAlignment="1" applyProtection="1">
      <alignment horizontal="center" wrapText="1"/>
      <protection hidden="1"/>
    </xf>
    <xf numFmtId="0" fontId="0" fillId="2" borderId="15" xfId="0" applyFill="1" applyBorder="1" applyAlignment="1" applyProtection="1">
      <alignment horizontal="center" wrapText="1"/>
      <protection hidden="1"/>
    </xf>
    <xf numFmtId="0" fontId="0" fillId="2" borderId="9" xfId="0" applyFill="1" applyBorder="1" applyAlignment="1" applyProtection="1">
      <alignment horizontal="center" wrapText="1"/>
      <protection hidden="1"/>
    </xf>
    <xf numFmtId="0" fontId="0" fillId="2" borderId="10" xfId="0" applyFill="1" applyBorder="1" applyAlignment="1" applyProtection="1">
      <alignment horizontal="center" wrapText="1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8" fillId="4" borderId="1" xfId="0" applyFont="1" applyFill="1" applyBorder="1" applyAlignment="1" applyProtection="1">
      <alignment horizontal="center" vertical="center" wrapText="1"/>
      <protection hidden="1"/>
    </xf>
    <xf numFmtId="164" fontId="8" fillId="5" borderId="1" xfId="1" applyFont="1" applyFill="1" applyBorder="1" applyAlignment="1" applyProtection="1">
      <alignment vertical="center"/>
      <protection hidden="1"/>
    </xf>
    <xf numFmtId="164" fontId="8" fillId="6" borderId="1" xfId="1" applyFont="1" applyFill="1" applyBorder="1" applyAlignment="1" applyProtection="1">
      <alignment horizontal="center" vertical="center"/>
      <protection hidden="1"/>
    </xf>
    <xf numFmtId="164" fontId="8" fillId="2" borderId="1" xfId="1" applyFont="1" applyFill="1" applyBorder="1" applyAlignment="1" applyProtection="1">
      <alignment horizontal="center" vertical="center"/>
      <protection hidden="1"/>
    </xf>
    <xf numFmtId="165" fontId="8" fillId="4" borderId="1" xfId="0" applyNumberFormat="1" applyFont="1" applyFill="1" applyBorder="1" applyAlignment="1" applyProtection="1">
      <alignment horizontal="center" wrapText="1"/>
      <protection hidden="1"/>
    </xf>
    <xf numFmtId="166" fontId="8" fillId="4" borderId="1" xfId="0" applyNumberFormat="1" applyFont="1" applyFill="1" applyBorder="1" applyAlignment="1" applyProtection="1">
      <alignment horizontal="center" wrapText="1"/>
      <protection hidden="1"/>
    </xf>
    <xf numFmtId="167" fontId="8" fillId="4" borderId="1" xfId="0" applyNumberFormat="1" applyFont="1" applyFill="1" applyBorder="1" applyAlignment="1" applyProtection="1">
      <alignment horizontal="center" wrapText="1"/>
      <protection hidden="1"/>
    </xf>
    <xf numFmtId="0" fontId="5" fillId="4" borderId="1" xfId="0" applyFont="1" applyFill="1" applyBorder="1" applyAlignment="1" applyProtection="1">
      <alignment horizontal="left" vertical="center" wrapText="1"/>
      <protection hidden="1"/>
    </xf>
    <xf numFmtId="0" fontId="5" fillId="3" borderId="1" xfId="0" applyFont="1" applyFill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165" fontId="8" fillId="0" borderId="1" xfId="0" applyNumberFormat="1" applyFont="1" applyBorder="1" applyAlignment="1" applyProtection="1">
      <alignment horizontal="center" wrapText="1"/>
      <protection hidden="1"/>
    </xf>
    <xf numFmtId="166" fontId="8" fillId="0" borderId="1" xfId="0" applyNumberFormat="1" applyFont="1" applyBorder="1" applyAlignment="1" applyProtection="1">
      <alignment horizontal="center" wrapText="1"/>
      <protection hidden="1"/>
    </xf>
    <xf numFmtId="167" fontId="8" fillId="0" borderId="1" xfId="0" applyNumberFormat="1" applyFont="1" applyBorder="1" applyAlignment="1" applyProtection="1">
      <alignment horizontal="center" wrapText="1"/>
      <protection hidden="1"/>
    </xf>
    <xf numFmtId="0" fontId="24" fillId="0" borderId="0" xfId="0" applyFont="1"/>
    <xf numFmtId="0" fontId="27" fillId="9" borderId="1" xfId="0" applyFont="1" applyFill="1" applyBorder="1" applyAlignment="1" applyProtection="1">
      <alignment horizontal="left" vertical="center" wrapText="1"/>
      <protection locked="0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2" xfId="0" applyFont="1" applyBorder="1" applyAlignment="1">
      <alignment horizontal="left" wrapText="1"/>
    </xf>
    <xf numFmtId="0" fontId="27" fillId="0" borderId="7" xfId="0" applyFont="1" applyBorder="1" applyAlignment="1">
      <alignment horizontal="left" wrapText="1"/>
    </xf>
    <xf numFmtId="0" fontId="27" fillId="0" borderId="0" xfId="0" applyFont="1" applyAlignment="1">
      <alignment horizontal="left" vertical="center"/>
    </xf>
    <xf numFmtId="172" fontId="27" fillId="9" borderId="1" xfId="0" applyNumberFormat="1" applyFont="1" applyFill="1" applyBorder="1" applyAlignment="1" applyProtection="1">
      <alignment horizontal="center" vertical="center"/>
      <protection locked="0"/>
    </xf>
    <xf numFmtId="172" fontId="27" fillId="0" borderId="1" xfId="1" applyNumberFormat="1" applyFont="1" applyBorder="1" applyAlignment="1" applyProtection="1">
      <alignment horizontal="center" vertical="center"/>
    </xf>
    <xf numFmtId="166" fontId="27" fillId="0" borderId="1" xfId="1" applyNumberFormat="1" applyFont="1" applyBorder="1" applyAlignment="1" applyProtection="1">
      <alignment horizontal="right" vertical="center"/>
    </xf>
    <xf numFmtId="181" fontId="27" fillId="0" borderId="1" xfId="1" applyNumberFormat="1" applyFont="1" applyBorder="1" applyAlignment="1" applyProtection="1">
      <alignment horizontal="right" vertical="center"/>
    </xf>
    <xf numFmtId="0" fontId="27" fillId="0" borderId="30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174" fontId="27" fillId="0" borderId="30" xfId="2" applyNumberFormat="1" applyFont="1" applyFill="1" applyBorder="1" applyAlignment="1" applyProtection="1">
      <alignment horizontal="center" vertical="center"/>
    </xf>
    <xf numFmtId="0" fontId="25" fillId="0" borderId="34" xfId="0" applyFont="1" applyBorder="1"/>
    <xf numFmtId="0" fontId="25" fillId="0" borderId="29" xfId="0" applyFont="1" applyBorder="1"/>
    <xf numFmtId="164" fontId="27" fillId="0" borderId="30" xfId="1" applyFont="1" applyFill="1" applyBorder="1" applyAlignment="1" applyProtection="1">
      <alignment horizontal="center" vertical="center"/>
    </xf>
    <xf numFmtId="164" fontId="27" fillId="0" borderId="29" xfId="1" applyFont="1" applyFill="1" applyBorder="1" applyAlignment="1" applyProtection="1">
      <alignment horizontal="center" vertical="center"/>
    </xf>
    <xf numFmtId="166" fontId="27" fillId="0" borderId="30" xfId="0" applyNumberFormat="1" applyFont="1" applyBorder="1" applyAlignment="1">
      <alignment horizontal="center" vertical="center" wrapText="1"/>
    </xf>
    <xf numFmtId="166" fontId="27" fillId="0" borderId="29" xfId="0" applyNumberFormat="1" applyFont="1" applyBorder="1" applyAlignment="1">
      <alignment horizontal="center" vertical="center" wrapText="1"/>
    </xf>
    <xf numFmtId="166" fontId="27" fillId="9" borderId="2" xfId="0" applyNumberFormat="1" applyFont="1" applyFill="1" applyBorder="1" applyAlignment="1" applyProtection="1">
      <alignment horizontal="center" vertical="center"/>
      <protection locked="0"/>
    </xf>
    <xf numFmtId="166" fontId="27" fillId="9" borderId="4" xfId="0" applyNumberFormat="1" applyFont="1" applyFill="1" applyBorder="1" applyAlignment="1" applyProtection="1">
      <alignment horizontal="center" vertical="center"/>
      <protection locked="0"/>
    </xf>
    <xf numFmtId="174" fontId="27" fillId="0" borderId="29" xfId="2" applyNumberFormat="1" applyFont="1" applyFill="1" applyBorder="1" applyAlignment="1" applyProtection="1">
      <alignment horizontal="center" vertical="center"/>
    </xf>
    <xf numFmtId="166" fontId="27" fillId="9" borderId="28" xfId="0" applyNumberFormat="1" applyFont="1" applyFill="1" applyBorder="1" applyAlignment="1" applyProtection="1">
      <alignment horizontal="center" vertical="center"/>
      <protection locked="0"/>
    </xf>
    <xf numFmtId="166" fontId="27" fillId="9" borderId="32" xfId="0" applyNumberFormat="1" applyFont="1" applyFill="1" applyBorder="1" applyAlignment="1" applyProtection="1">
      <alignment horizontal="center" vertical="center"/>
      <protection locked="0"/>
    </xf>
    <xf numFmtId="166" fontId="27" fillId="9" borderId="6" xfId="0" applyNumberFormat="1" applyFont="1" applyFill="1" applyBorder="1" applyAlignment="1" applyProtection="1">
      <alignment horizontal="center" vertical="center"/>
      <protection locked="0"/>
    </xf>
    <xf numFmtId="166" fontId="27" fillId="9" borderId="5" xfId="0" applyNumberFormat="1" applyFont="1" applyFill="1" applyBorder="1" applyAlignment="1" applyProtection="1">
      <alignment horizontal="center" vertical="center"/>
      <protection locked="0"/>
    </xf>
    <xf numFmtId="0" fontId="27" fillId="0" borderId="38" xfId="0" applyFont="1" applyBorder="1" applyAlignment="1">
      <alignment horizontal="center" vertical="center"/>
    </xf>
    <xf numFmtId="172" fontId="27" fillId="0" borderId="30" xfId="0" applyNumberFormat="1" applyFont="1" applyBorder="1" applyAlignment="1">
      <alignment horizontal="center" vertical="center"/>
    </xf>
    <xf numFmtId="172" fontId="27" fillId="0" borderId="29" xfId="0" applyNumberFormat="1" applyFont="1" applyBorder="1" applyAlignment="1">
      <alignment horizontal="center" vertical="center"/>
    </xf>
    <xf numFmtId="172" fontId="27" fillId="0" borderId="30" xfId="1" applyNumberFormat="1" applyFont="1" applyBorder="1" applyAlignment="1" applyProtection="1">
      <alignment horizontal="center" vertical="center"/>
    </xf>
    <xf numFmtId="172" fontId="27" fillId="0" borderId="34" xfId="1" applyNumberFormat="1" applyFont="1" applyBorder="1" applyAlignment="1" applyProtection="1">
      <alignment horizontal="center" vertical="center"/>
    </xf>
    <xf numFmtId="172" fontId="27" fillId="0" borderId="29" xfId="1" applyNumberFormat="1" applyFont="1" applyBorder="1" applyAlignment="1" applyProtection="1">
      <alignment horizontal="center" vertical="center"/>
    </xf>
    <xf numFmtId="0" fontId="35" fillId="10" borderId="1" xfId="0" applyFont="1" applyFill="1" applyBorder="1" applyAlignment="1" applyProtection="1">
      <alignment horizontal="left" vertical="center" wrapText="1"/>
      <protection locked="0"/>
    </xf>
    <xf numFmtId="0" fontId="0" fillId="0" borderId="29" xfId="0" applyBorder="1"/>
    <xf numFmtId="164" fontId="28" fillId="2" borderId="1" xfId="1" applyFont="1" applyFill="1" applyBorder="1" applyAlignment="1" applyProtection="1">
      <alignment horizontal="center" vertical="center" textRotation="90" wrapText="1"/>
    </xf>
    <xf numFmtId="164" fontId="28" fillId="2" borderId="2" xfId="1" applyFont="1" applyFill="1" applyBorder="1" applyAlignment="1" applyProtection="1">
      <alignment horizontal="center" vertical="center" textRotation="90" wrapText="1"/>
    </xf>
    <xf numFmtId="164" fontId="28" fillId="2" borderId="4" xfId="1" applyFont="1" applyFill="1" applyBorder="1" applyAlignment="1" applyProtection="1">
      <alignment horizontal="center" vertical="center" textRotation="90" wrapText="1"/>
    </xf>
    <xf numFmtId="0" fontId="27" fillId="0" borderId="1" xfId="0" applyFont="1" applyBorder="1" applyAlignment="1" applyProtection="1">
      <alignment horizontal="left" vertical="center"/>
      <protection locked="0"/>
    </xf>
    <xf numFmtId="0" fontId="35" fillId="10" borderId="1" xfId="0" applyFont="1" applyFill="1" applyBorder="1" applyAlignment="1" applyProtection="1">
      <alignment horizontal="center" vertical="center"/>
      <protection locked="0"/>
    </xf>
    <xf numFmtId="0" fontId="27" fillId="9" borderId="30" xfId="0" applyFont="1" applyFill="1" applyBorder="1" applyAlignment="1" applyProtection="1">
      <alignment horizontal="center" vertical="center"/>
      <protection locked="0"/>
    </xf>
    <xf numFmtId="0" fontId="27" fillId="9" borderId="29" xfId="0" applyFont="1" applyFill="1" applyBorder="1" applyAlignment="1" applyProtection="1">
      <alignment horizontal="center" vertical="center"/>
      <protection locked="0"/>
    </xf>
    <xf numFmtId="180" fontId="35" fillId="10" borderId="1" xfId="0" applyNumberFormat="1" applyFont="1" applyFill="1" applyBorder="1" applyAlignment="1" applyProtection="1">
      <alignment horizontal="center" vertical="center"/>
      <protection locked="0"/>
    </xf>
    <xf numFmtId="14" fontId="27" fillId="9" borderId="30" xfId="0" applyNumberFormat="1" applyFont="1" applyFill="1" applyBorder="1" applyAlignment="1" applyProtection="1">
      <alignment horizontal="center" vertical="center"/>
      <protection locked="0"/>
    </xf>
    <xf numFmtId="0" fontId="35" fillId="10" borderId="34" xfId="5" applyFont="1" applyFill="1" applyBorder="1" applyAlignment="1" applyProtection="1">
      <alignment horizontal="center" vertical="center" wrapText="1"/>
      <protection locked="0"/>
    </xf>
    <xf numFmtId="0" fontId="27" fillId="9" borderId="31" xfId="0" applyFont="1" applyFill="1" applyBorder="1" applyAlignment="1" applyProtection="1">
      <alignment horizontal="center" vertical="center" wrapText="1"/>
      <protection locked="0"/>
    </xf>
    <xf numFmtId="0" fontId="27" fillId="9" borderId="0" xfId="0" applyFont="1" applyFill="1" applyAlignment="1" applyProtection="1">
      <alignment horizontal="center" vertical="center" wrapText="1"/>
      <protection locked="0"/>
    </xf>
    <xf numFmtId="0" fontId="27" fillId="9" borderId="33" xfId="0" applyFont="1" applyFill="1" applyBorder="1" applyAlignment="1" applyProtection="1">
      <alignment horizontal="center" vertical="center" wrapText="1"/>
      <protection locked="0"/>
    </xf>
    <xf numFmtId="0" fontId="27" fillId="9" borderId="43" xfId="0" applyFont="1" applyFill="1" applyBorder="1" applyAlignment="1" applyProtection="1">
      <alignment horizontal="center" vertical="center"/>
      <protection locked="0"/>
    </xf>
    <xf numFmtId="0" fontId="27" fillId="9" borderId="44" xfId="0" applyFont="1" applyFill="1" applyBorder="1" applyAlignment="1" applyProtection="1">
      <alignment horizontal="center" vertical="center"/>
      <protection locked="0"/>
    </xf>
    <xf numFmtId="0" fontId="27" fillId="9" borderId="45" xfId="0" applyFont="1" applyFill="1" applyBorder="1" applyAlignment="1" applyProtection="1">
      <alignment horizontal="center" vertical="center"/>
      <protection locked="0"/>
    </xf>
    <xf numFmtId="164" fontId="28" fillId="2" borderId="35" xfId="1" applyFont="1" applyFill="1" applyBorder="1" applyAlignment="1" applyProtection="1">
      <alignment horizontal="center" vertical="center" textRotation="90" wrapText="1"/>
    </xf>
    <xf numFmtId="0" fontId="27" fillId="0" borderId="0" xfId="0" applyFont="1" applyAlignment="1">
      <alignment horizontal="left" vertical="top" wrapText="1"/>
    </xf>
    <xf numFmtId="164" fontId="28" fillId="2" borderId="39" xfId="1" applyFont="1" applyFill="1" applyBorder="1" applyAlignment="1" applyProtection="1">
      <alignment horizontal="center" vertical="center" textRotation="90" wrapText="1"/>
    </xf>
    <xf numFmtId="164" fontId="28" fillId="2" borderId="40" xfId="1" applyFont="1" applyFill="1" applyBorder="1" applyAlignment="1" applyProtection="1">
      <alignment horizontal="center" vertical="center" textRotation="90" wrapText="1"/>
    </xf>
    <xf numFmtId="0" fontId="27" fillId="0" borderId="23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164" fontId="28" fillId="2" borderId="28" xfId="1" applyFont="1" applyFill="1" applyBorder="1" applyAlignment="1" applyProtection="1">
      <alignment horizontal="center" vertical="center" textRotation="90" wrapText="1"/>
    </xf>
    <xf numFmtId="164" fontId="28" fillId="2" borderId="20" xfId="1" applyFont="1" applyFill="1" applyBorder="1" applyAlignment="1" applyProtection="1">
      <alignment horizontal="center" vertical="center" textRotation="90" wrapText="1"/>
    </xf>
    <xf numFmtId="164" fontId="28" fillId="2" borderId="32" xfId="1" applyFont="1" applyFill="1" applyBorder="1" applyAlignment="1" applyProtection="1">
      <alignment horizontal="center" vertical="center" textRotation="90" wrapText="1"/>
    </xf>
    <xf numFmtId="164" fontId="28" fillId="2" borderId="6" xfId="1" applyFont="1" applyFill="1" applyBorder="1" applyAlignment="1" applyProtection="1">
      <alignment horizontal="center" vertical="center" textRotation="90" wrapText="1"/>
    </xf>
    <xf numFmtId="164" fontId="28" fillId="2" borderId="24" xfId="1" applyFont="1" applyFill="1" applyBorder="1" applyAlignment="1" applyProtection="1">
      <alignment horizontal="center" vertical="center" textRotation="90" wrapText="1"/>
    </xf>
    <xf numFmtId="164" fontId="28" fillId="2" borderId="5" xfId="1" applyFont="1" applyFill="1" applyBorder="1" applyAlignment="1" applyProtection="1">
      <alignment horizontal="center" vertical="center" textRotation="90" wrapText="1"/>
    </xf>
    <xf numFmtId="0" fontId="33" fillId="0" borderId="7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183" fontId="35" fillId="10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left"/>
      <protection hidden="1"/>
    </xf>
    <xf numFmtId="0" fontId="2" fillId="2" borderId="19" xfId="0" applyFont="1" applyFill="1" applyBorder="1" applyAlignment="1" applyProtection="1">
      <alignment horizontal="left"/>
      <protection hidden="1"/>
    </xf>
    <xf numFmtId="0" fontId="2" fillId="2" borderId="13" xfId="0" applyFont="1" applyFill="1" applyBorder="1" applyAlignment="1" applyProtection="1">
      <alignment horizontal="left"/>
      <protection hidden="1"/>
    </xf>
    <xf numFmtId="0" fontId="2" fillId="2" borderId="14" xfId="0" applyFont="1" applyFill="1" applyBorder="1" applyAlignment="1" applyProtection="1">
      <alignment horizontal="left"/>
      <protection hidden="1"/>
    </xf>
    <xf numFmtId="0" fontId="3" fillId="0" borderId="22" xfId="0" applyFont="1" applyBorder="1" applyAlignment="1" applyProtection="1">
      <alignment horizontal="center"/>
      <protection hidden="1"/>
    </xf>
    <xf numFmtId="0" fontId="3" fillId="0" borderId="21" xfId="0" applyFont="1" applyBorder="1" applyAlignment="1" applyProtection="1">
      <alignment horizontal="center"/>
      <protection hidden="1"/>
    </xf>
    <xf numFmtId="0" fontId="3" fillId="0" borderId="23" xfId="0" applyFont="1" applyBorder="1" applyAlignment="1" applyProtection="1">
      <alignment horizontal="center"/>
      <protection hidden="1"/>
    </xf>
    <xf numFmtId="0" fontId="3" fillId="0" borderId="18" xfId="0" applyFont="1" applyBorder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178" fontId="0" fillId="0" borderId="23" xfId="0" applyNumberFormat="1" applyBorder="1" applyAlignment="1" applyProtection="1">
      <alignment horizontal="left" wrapText="1"/>
      <protection hidden="1"/>
    </xf>
    <xf numFmtId="0" fontId="0" fillId="0" borderId="0" xfId="0" applyAlignment="1" applyProtection="1">
      <alignment wrapText="1"/>
      <protection hidden="1"/>
    </xf>
    <xf numFmtId="0" fontId="17" fillId="0" borderId="13" xfId="0" applyFont="1" applyBorder="1" applyAlignment="1" applyProtection="1">
      <alignment horizontal="left"/>
      <protection hidden="1"/>
    </xf>
    <xf numFmtId="0" fontId="17" fillId="0" borderId="14" xfId="0" applyFont="1" applyBorder="1" applyAlignment="1" applyProtection="1">
      <alignment horizontal="left"/>
      <protection hidden="1"/>
    </xf>
    <xf numFmtId="173" fontId="0" fillId="2" borderId="24" xfId="0" applyNumberFormat="1" applyFill="1" applyBorder="1" applyAlignment="1" applyProtection="1">
      <alignment horizontal="left"/>
      <protection hidden="1"/>
    </xf>
    <xf numFmtId="0" fontId="0" fillId="2" borderId="7" xfId="1" applyNumberFormat="1" applyFont="1" applyFill="1" applyBorder="1" applyAlignment="1" applyProtection="1">
      <alignment horizontal="left"/>
      <protection hidden="1"/>
    </xf>
    <xf numFmtId="0" fontId="2" fillId="0" borderId="23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2" borderId="9" xfId="0" applyFont="1" applyFill="1" applyBorder="1" applyAlignment="1" applyProtection="1">
      <alignment horizontal="left"/>
      <protection hidden="1"/>
    </xf>
    <xf numFmtId="0" fontId="2" fillId="2" borderId="11" xfId="0" applyFont="1" applyFill="1" applyBorder="1" applyAlignment="1" applyProtection="1">
      <alignment horizontal="left"/>
      <protection hidden="1"/>
    </xf>
    <xf numFmtId="178" fontId="0" fillId="0" borderId="9" xfId="0" applyNumberFormat="1" applyBorder="1" applyAlignment="1" applyProtection="1">
      <alignment horizontal="left" wrapText="1"/>
      <protection hidden="1"/>
    </xf>
    <xf numFmtId="178" fontId="0" fillId="0" borderId="11" xfId="0" applyNumberFormat="1" applyBorder="1" applyAlignment="1" applyProtection="1">
      <alignment horizontal="left" wrapText="1"/>
      <protection hidden="1"/>
    </xf>
    <xf numFmtId="178" fontId="0" fillId="0" borderId="13" xfId="0" applyNumberFormat="1" applyBorder="1" applyAlignment="1" applyProtection="1">
      <alignment horizontal="left" wrapText="1"/>
      <protection hidden="1"/>
    </xf>
    <xf numFmtId="0" fontId="0" fillId="0" borderId="14" xfId="0" applyBorder="1" applyAlignment="1" applyProtection="1">
      <alignment wrapText="1"/>
      <protection hidden="1"/>
    </xf>
    <xf numFmtId="178" fontId="0" fillId="0" borderId="22" xfId="0" applyNumberFormat="1" applyBorder="1" applyAlignment="1" applyProtection="1">
      <alignment horizontal="left" wrapText="1"/>
      <protection hidden="1"/>
    </xf>
    <xf numFmtId="178" fontId="0" fillId="0" borderId="19" xfId="0" applyNumberFormat="1" applyBorder="1" applyAlignment="1" applyProtection="1">
      <alignment horizontal="left" wrapText="1"/>
      <protection hidden="1"/>
    </xf>
    <xf numFmtId="178" fontId="0" fillId="0" borderId="21" xfId="0" applyNumberFormat="1" applyBorder="1" applyAlignment="1" applyProtection="1">
      <alignment horizontal="left" wrapText="1"/>
      <protection hidden="1"/>
    </xf>
    <xf numFmtId="178" fontId="0" fillId="0" borderId="14" xfId="0" applyNumberFormat="1" applyBorder="1" applyAlignment="1" applyProtection="1">
      <alignment horizontal="left" wrapText="1"/>
      <protection hidden="1"/>
    </xf>
    <xf numFmtId="178" fontId="0" fillId="0" borderId="15" xfId="0" applyNumberFormat="1" applyBorder="1" applyAlignment="1" applyProtection="1">
      <alignment horizontal="left" wrapText="1"/>
      <protection hidden="1"/>
    </xf>
    <xf numFmtId="0" fontId="24" fillId="0" borderId="23" xfId="0" applyFont="1" applyBorder="1" applyAlignment="1" applyProtection="1">
      <alignment horizontal="left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left"/>
      <protection hidden="1"/>
    </xf>
    <xf numFmtId="0" fontId="17" fillId="0" borderId="18" xfId="0" applyFont="1" applyBorder="1" applyAlignment="1" applyProtection="1">
      <alignment horizontal="left"/>
      <protection hidden="1"/>
    </xf>
    <xf numFmtId="0" fontId="13" fillId="0" borderId="23" xfId="0" applyFont="1" applyBorder="1" applyAlignment="1" applyProtection="1">
      <alignment horizontal="left"/>
      <protection hidden="1"/>
    </xf>
    <xf numFmtId="0" fontId="13" fillId="0" borderId="0" xfId="0" applyFont="1" applyAlignment="1" applyProtection="1">
      <alignment horizontal="left"/>
      <protection hidden="1"/>
    </xf>
    <xf numFmtId="0" fontId="32" fillId="0" borderId="0" xfId="0" applyFont="1" applyAlignment="1" applyProtection="1">
      <alignment horizontal="center"/>
      <protection hidden="1"/>
    </xf>
    <xf numFmtId="0" fontId="32" fillId="0" borderId="18" xfId="0" applyFont="1" applyBorder="1" applyAlignment="1" applyProtection="1">
      <alignment horizontal="center"/>
      <protection hidden="1"/>
    </xf>
  </cellXfs>
  <cellStyles count="6">
    <cellStyle name="Migliaia" xfId="1" builtinId="3"/>
    <cellStyle name="Normale" xfId="0" builtinId="0"/>
    <cellStyle name="Normale 2" xfId="3" xr:uid="{00000000-0005-0000-0000-000002000000}"/>
    <cellStyle name="Normale 3" xfId="4" xr:uid="{00000000-0005-0000-0000-000003000000}"/>
    <cellStyle name="Normale 4" xfId="5" xr:uid="{131314FF-D411-49C1-8F33-E695E52EED29}"/>
    <cellStyle name="Percentuale" xfId="2" builtinId="5"/>
  </cellStyles>
  <dxfs count="37"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1472045</xdr:colOff>
      <xdr:row>3</xdr:row>
      <xdr:rowOff>450274</xdr:rowOff>
    </xdr:from>
    <xdr:to>
      <xdr:col>3</xdr:col>
      <xdr:colOff>2182090</xdr:colOff>
      <xdr:row>5</xdr:row>
      <xdr:rowOff>86591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70363" y="2199410"/>
          <a:ext cx="710045" cy="6754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121228</xdr:colOff>
      <xdr:row>3</xdr:row>
      <xdr:rowOff>415637</xdr:rowOff>
    </xdr:from>
    <xdr:to>
      <xdr:col>5</xdr:col>
      <xdr:colOff>831273</xdr:colOff>
      <xdr:row>5</xdr:row>
      <xdr:rowOff>51954</xdr:rowOff>
    </xdr:to>
    <xdr:sp macro="" textlink="">
      <xdr:nvSpPr>
        <xdr:cNvPr id="3" name="Freccia a destr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0800000">
          <a:off x="6788728" y="2182092"/>
          <a:ext cx="710045" cy="67540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>
      <selection activeCell="D7" sqref="D7"/>
    </sheetView>
  </sheetViews>
  <sheetFormatPr defaultRowHeight="15" x14ac:dyDescent="0.25"/>
  <cols>
    <col min="1" max="1" width="21.85546875" style="1" customWidth="1"/>
  </cols>
  <sheetData>
    <row r="1" spans="1:3" x14ac:dyDescent="0.25">
      <c r="A1" s="1" t="s">
        <v>102</v>
      </c>
    </row>
    <row r="2" spans="1:3" ht="15.75" x14ac:dyDescent="0.25">
      <c r="A2" s="259" t="s">
        <v>248</v>
      </c>
    </row>
    <row r="3" spans="1:3" ht="15.75" x14ac:dyDescent="0.25">
      <c r="A3" s="259" t="s">
        <v>238</v>
      </c>
    </row>
    <row r="4" spans="1:3" ht="15.75" x14ac:dyDescent="0.25">
      <c r="A4" s="259" t="s">
        <v>259</v>
      </c>
    </row>
    <row r="5" spans="1:3" ht="15.75" x14ac:dyDescent="0.25">
      <c r="A5" s="259" t="s">
        <v>268</v>
      </c>
    </row>
    <row r="6" spans="1:3" ht="15.75" x14ac:dyDescent="0.25">
      <c r="A6" s="259" t="s">
        <v>274</v>
      </c>
    </row>
    <row r="8" spans="1:3" x14ac:dyDescent="0.25">
      <c r="C8" s="267"/>
    </row>
  </sheetData>
  <sortState xmlns:xlrd2="http://schemas.microsoft.com/office/spreadsheetml/2017/richdata2" ref="A3:A6">
    <sortCondition ref="A2:A6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2"/>
  <sheetViews>
    <sheetView showGridLines="0" zoomScale="85" zoomScaleNormal="85" workbookViewId="0">
      <selection activeCell="A33" sqref="A33"/>
    </sheetView>
  </sheetViews>
  <sheetFormatPr defaultColWidth="20.7109375" defaultRowHeight="15" x14ac:dyDescent="0.25"/>
  <cols>
    <col min="1" max="1" width="16.28515625" style="73" bestFit="1" customWidth="1"/>
    <col min="2" max="2" width="2.5703125" style="73" bestFit="1" customWidth="1"/>
    <col min="3" max="3" width="23.85546875" style="73" bestFit="1" customWidth="1"/>
    <col min="4" max="4" width="11.42578125" style="73" bestFit="1" customWidth="1"/>
    <col min="5" max="5" width="10" style="73" bestFit="1" customWidth="1"/>
    <col min="6" max="6" width="22.42578125" style="73" bestFit="1" customWidth="1"/>
    <col min="7" max="7" width="37.7109375" style="75" bestFit="1" customWidth="1"/>
    <col min="8" max="8" width="34.140625" style="75" bestFit="1" customWidth="1"/>
    <col min="9" max="9" width="33.5703125" style="75" bestFit="1" customWidth="1"/>
    <col min="10" max="10" width="24" style="75" bestFit="1" customWidth="1"/>
    <col min="11" max="11" width="28.140625" style="75" bestFit="1" customWidth="1"/>
    <col min="12" max="13" width="18.140625" style="75" bestFit="1" customWidth="1"/>
    <col min="14" max="14" width="23.140625" style="75" bestFit="1" customWidth="1"/>
    <col min="15" max="15" width="19.5703125" style="75" bestFit="1" customWidth="1"/>
    <col min="16" max="17" width="24" style="75" bestFit="1" customWidth="1"/>
    <col min="18" max="18" width="17.85546875" style="75" bestFit="1" customWidth="1"/>
    <col min="19" max="20" width="23.42578125" style="75" bestFit="1" customWidth="1"/>
    <col min="21" max="21" width="21" style="75" bestFit="1" customWidth="1"/>
    <col min="22" max="22" width="19.140625" style="75" bestFit="1" customWidth="1"/>
    <col min="23" max="23" width="22.85546875" style="75" bestFit="1" customWidth="1"/>
    <col min="24" max="24" width="19.140625" style="75" bestFit="1" customWidth="1"/>
    <col min="25" max="25" width="22.7109375" style="75" bestFit="1" customWidth="1"/>
    <col min="26" max="26" width="24.42578125" style="75" bestFit="1" customWidth="1"/>
    <col min="27" max="27" width="24" style="75" bestFit="1" customWidth="1"/>
    <col min="28" max="28" width="23.42578125" style="75" bestFit="1" customWidth="1"/>
    <col min="29" max="29" width="17.85546875" style="75" bestFit="1" customWidth="1"/>
    <col min="30" max="30" width="22.140625" style="75" bestFit="1" customWidth="1"/>
    <col min="31" max="31" width="23.85546875" style="75" bestFit="1" customWidth="1"/>
    <col min="32" max="16384" width="20.7109375" style="75"/>
  </cols>
  <sheetData>
    <row r="1" spans="1:31" x14ac:dyDescent="0.25">
      <c r="C1" s="73">
        <v>1</v>
      </c>
      <c r="D1" s="74">
        <v>2</v>
      </c>
      <c r="E1" s="74">
        <v>3</v>
      </c>
      <c r="F1" s="74">
        <v>4</v>
      </c>
      <c r="G1" s="74">
        <v>5</v>
      </c>
      <c r="H1" s="74">
        <v>6</v>
      </c>
      <c r="I1" s="74">
        <v>7</v>
      </c>
      <c r="J1" s="74">
        <v>8</v>
      </c>
      <c r="K1" s="74">
        <v>9</v>
      </c>
      <c r="L1" s="74">
        <v>10</v>
      </c>
      <c r="M1" s="74">
        <v>11</v>
      </c>
      <c r="N1" s="74">
        <v>12</v>
      </c>
      <c r="O1" s="74">
        <v>13</v>
      </c>
      <c r="P1" s="74">
        <v>14</v>
      </c>
      <c r="Q1" s="74">
        <v>15</v>
      </c>
      <c r="R1" s="74">
        <v>16</v>
      </c>
      <c r="S1" s="74">
        <v>17</v>
      </c>
      <c r="T1" s="74">
        <v>18</v>
      </c>
      <c r="U1" s="74">
        <v>19</v>
      </c>
      <c r="V1" s="74">
        <v>20</v>
      </c>
      <c r="W1" s="74">
        <v>21</v>
      </c>
      <c r="X1" s="74">
        <v>22</v>
      </c>
      <c r="Y1" s="74">
        <v>23</v>
      </c>
      <c r="Z1" s="74">
        <v>24</v>
      </c>
      <c r="AA1" s="74">
        <v>25</v>
      </c>
      <c r="AB1" s="74">
        <v>26</v>
      </c>
      <c r="AC1" s="74">
        <v>27</v>
      </c>
      <c r="AD1" s="74">
        <v>28</v>
      </c>
      <c r="AE1" s="74">
        <v>29</v>
      </c>
    </row>
    <row r="2" spans="1:31" s="82" customFormat="1" ht="90.75" customHeight="1" x14ac:dyDescent="0.3">
      <c r="A2" s="76" t="s">
        <v>101</v>
      </c>
      <c r="B2" s="76"/>
      <c r="C2" s="76" t="s">
        <v>2</v>
      </c>
      <c r="D2" s="77" t="s">
        <v>1</v>
      </c>
      <c r="E2" s="76" t="s">
        <v>0</v>
      </c>
      <c r="F2" s="78" t="s">
        <v>3</v>
      </c>
      <c r="G2" s="78" t="s">
        <v>4</v>
      </c>
      <c r="H2" s="78" t="s">
        <v>5</v>
      </c>
      <c r="I2" s="78" t="s">
        <v>7</v>
      </c>
      <c r="J2" s="78" t="s">
        <v>8</v>
      </c>
      <c r="K2" s="78" t="s">
        <v>9</v>
      </c>
      <c r="L2" s="79" t="s">
        <v>10</v>
      </c>
      <c r="M2" s="79" t="s">
        <v>11</v>
      </c>
      <c r="N2" s="79" t="s">
        <v>12</v>
      </c>
      <c r="O2" s="79" t="s">
        <v>13</v>
      </c>
      <c r="P2" s="79" t="s">
        <v>14</v>
      </c>
      <c r="Q2" s="79" t="s">
        <v>15</v>
      </c>
      <c r="R2" s="79" t="s">
        <v>16</v>
      </c>
      <c r="S2" s="79" t="s">
        <v>17</v>
      </c>
      <c r="T2" s="79" t="s">
        <v>18</v>
      </c>
      <c r="U2" s="79" t="s">
        <v>19</v>
      </c>
      <c r="V2" s="79" t="s">
        <v>20</v>
      </c>
      <c r="W2" s="79" t="s">
        <v>23</v>
      </c>
      <c r="X2" s="79" t="s">
        <v>24</v>
      </c>
      <c r="Y2" s="79" t="s">
        <v>25</v>
      </c>
      <c r="Z2" s="80" t="s">
        <v>128</v>
      </c>
      <c r="AA2" s="81" t="s">
        <v>26</v>
      </c>
      <c r="AB2" s="81" t="s">
        <v>27</v>
      </c>
      <c r="AC2" s="81" t="s">
        <v>28</v>
      </c>
      <c r="AD2" s="81" t="s">
        <v>29</v>
      </c>
      <c r="AE2" s="81" t="s">
        <v>30</v>
      </c>
    </row>
    <row r="3" spans="1:31" ht="15.75" x14ac:dyDescent="0.25">
      <c r="A3" s="261" t="s">
        <v>237</v>
      </c>
      <c r="B3" s="261">
        <v>1</v>
      </c>
      <c r="C3" s="261" t="s">
        <v>237</v>
      </c>
      <c r="D3" s="261" t="s">
        <v>238</v>
      </c>
      <c r="E3" s="260" t="s">
        <v>235</v>
      </c>
      <c r="F3" s="261" t="s">
        <v>236</v>
      </c>
      <c r="G3" s="262"/>
      <c r="H3" s="262" t="s">
        <v>239</v>
      </c>
      <c r="I3" s="263" t="s">
        <v>240</v>
      </c>
      <c r="J3" s="262">
        <v>1</v>
      </c>
      <c r="K3" s="262">
        <v>5</v>
      </c>
      <c r="L3" s="253"/>
      <c r="M3" s="254"/>
      <c r="N3" s="255">
        <v>1</v>
      </c>
      <c r="O3" s="263" t="s">
        <v>234</v>
      </c>
      <c r="P3" s="263">
        <v>16</v>
      </c>
      <c r="Q3" s="263">
        <v>8</v>
      </c>
      <c r="R3" s="263">
        <v>7</v>
      </c>
      <c r="S3" s="263" t="s">
        <v>6</v>
      </c>
      <c r="T3" s="263">
        <v>12</v>
      </c>
      <c r="U3" s="263" t="s">
        <v>233</v>
      </c>
      <c r="V3" s="263" t="s">
        <v>21</v>
      </c>
      <c r="W3" s="264">
        <v>2529</v>
      </c>
      <c r="X3" s="265">
        <v>49503</v>
      </c>
      <c r="Y3" s="266">
        <f>X3/W3</f>
        <v>19.574139976275209</v>
      </c>
      <c r="Z3" s="80" t="s">
        <v>125</v>
      </c>
      <c r="AA3" s="83">
        <v>24</v>
      </c>
      <c r="AB3" s="84">
        <v>365</v>
      </c>
      <c r="AC3" s="85">
        <v>3</v>
      </c>
      <c r="AD3" s="83">
        <v>26280</v>
      </c>
      <c r="AE3" s="86">
        <v>2</v>
      </c>
    </row>
    <row r="4" spans="1:31" ht="15.75" x14ac:dyDescent="0.25">
      <c r="A4" s="261" t="s">
        <v>241</v>
      </c>
      <c r="B4" s="261">
        <v>2</v>
      </c>
      <c r="C4" s="261"/>
      <c r="D4" s="261" t="s">
        <v>238</v>
      </c>
      <c r="E4" s="260"/>
      <c r="F4" s="261"/>
      <c r="G4" s="262"/>
      <c r="H4" s="262"/>
      <c r="I4" s="263"/>
      <c r="J4" s="262"/>
      <c r="K4" s="262"/>
      <c r="L4" s="253"/>
      <c r="M4" s="254"/>
      <c r="N4" s="255"/>
      <c r="O4" s="263"/>
      <c r="P4" s="263"/>
      <c r="Q4" s="263"/>
      <c r="R4" s="263"/>
      <c r="S4" s="263"/>
      <c r="T4" s="263"/>
      <c r="U4" s="263"/>
      <c r="V4" s="263"/>
      <c r="W4" s="264"/>
      <c r="X4" s="265"/>
      <c r="Y4" s="266"/>
      <c r="Z4" s="80" t="s">
        <v>125</v>
      </c>
      <c r="AA4" s="83"/>
      <c r="AB4" s="84"/>
      <c r="AC4" s="85"/>
      <c r="AD4" s="83">
        <v>0</v>
      </c>
      <c r="AE4" s="86"/>
    </row>
    <row r="5" spans="1:31" ht="15.75" x14ac:dyDescent="0.25">
      <c r="A5" s="261" t="s">
        <v>242</v>
      </c>
      <c r="B5" s="261">
        <v>3</v>
      </c>
      <c r="C5" s="261"/>
      <c r="D5" s="261" t="s">
        <v>238</v>
      </c>
      <c r="E5" s="260"/>
      <c r="F5" s="261"/>
      <c r="G5" s="262"/>
      <c r="H5" s="262"/>
      <c r="I5" s="263"/>
      <c r="J5" s="262"/>
      <c r="K5" s="262"/>
      <c r="L5" s="253"/>
      <c r="M5" s="254"/>
      <c r="N5" s="255"/>
      <c r="O5" s="263"/>
      <c r="P5" s="263"/>
      <c r="Q5" s="263"/>
      <c r="R5" s="263"/>
      <c r="S5" s="263"/>
      <c r="T5" s="263"/>
      <c r="U5" s="263"/>
      <c r="V5" s="263"/>
      <c r="W5" s="264"/>
      <c r="X5" s="265"/>
      <c r="Y5" s="266"/>
      <c r="Z5" s="80" t="s">
        <v>125</v>
      </c>
      <c r="AA5" s="83"/>
      <c r="AB5" s="84"/>
      <c r="AC5" s="85"/>
      <c r="AD5" s="83">
        <v>0</v>
      </c>
      <c r="AE5" s="86"/>
    </row>
    <row r="6" spans="1:31" ht="15.75" x14ac:dyDescent="0.25">
      <c r="A6" s="261" t="s">
        <v>243</v>
      </c>
      <c r="B6" s="261">
        <v>4</v>
      </c>
      <c r="C6" s="261"/>
      <c r="D6" s="261" t="s">
        <v>238</v>
      </c>
      <c r="E6" s="260"/>
      <c r="F6" s="261"/>
      <c r="G6" s="262"/>
      <c r="H6" s="262"/>
      <c r="I6" s="263"/>
      <c r="J6" s="262"/>
      <c r="K6" s="262"/>
      <c r="L6" s="253"/>
      <c r="M6" s="254"/>
      <c r="N6" s="255"/>
      <c r="O6" s="263"/>
      <c r="P6" s="263"/>
      <c r="Q6" s="263"/>
      <c r="R6" s="263"/>
      <c r="S6" s="263"/>
      <c r="T6" s="263"/>
      <c r="U6" s="263"/>
      <c r="V6" s="263"/>
      <c r="W6" s="264"/>
      <c r="X6" s="265"/>
      <c r="Y6" s="266"/>
      <c r="Z6" s="80" t="s">
        <v>125</v>
      </c>
      <c r="AA6" s="83"/>
      <c r="AB6" s="84"/>
      <c r="AC6" s="85"/>
      <c r="AD6" s="83">
        <v>0</v>
      </c>
      <c r="AE6" s="86"/>
    </row>
    <row r="7" spans="1:31" ht="15.75" x14ac:dyDescent="0.25">
      <c r="A7" s="261" t="s">
        <v>244</v>
      </c>
      <c r="B7" s="261">
        <v>5</v>
      </c>
      <c r="C7" s="261"/>
      <c r="D7" s="261" t="s">
        <v>238</v>
      </c>
      <c r="E7" s="260"/>
      <c r="F7" s="261"/>
      <c r="G7" s="262"/>
      <c r="H7" s="262"/>
      <c r="I7" s="263"/>
      <c r="J7" s="262"/>
      <c r="K7" s="262"/>
      <c r="L7" s="253"/>
      <c r="M7" s="254"/>
      <c r="N7" s="255"/>
      <c r="O7" s="263"/>
      <c r="P7" s="263"/>
      <c r="Q7" s="263"/>
      <c r="R7" s="263"/>
      <c r="S7" s="263"/>
      <c r="T7" s="263"/>
      <c r="U7" s="263"/>
      <c r="V7" s="263"/>
      <c r="W7" s="264"/>
      <c r="X7" s="265"/>
      <c r="Y7" s="266"/>
      <c r="Z7" s="80" t="s">
        <v>125</v>
      </c>
      <c r="AA7" s="83"/>
      <c r="AB7" s="84"/>
      <c r="AC7" s="85"/>
      <c r="AD7" s="83">
        <v>0</v>
      </c>
      <c r="AE7" s="86"/>
    </row>
    <row r="8" spans="1:31" ht="15.75" x14ac:dyDescent="0.25">
      <c r="A8" s="261" t="s">
        <v>245</v>
      </c>
      <c r="B8" s="261">
        <v>6</v>
      </c>
      <c r="C8" s="261"/>
      <c r="D8" s="261" t="s">
        <v>238</v>
      </c>
      <c r="E8" s="260"/>
      <c r="F8" s="261"/>
      <c r="G8" s="262"/>
      <c r="H8" s="262"/>
      <c r="I8" s="263"/>
      <c r="J8" s="262"/>
      <c r="K8" s="262"/>
      <c r="L8" s="253"/>
      <c r="M8" s="254"/>
      <c r="N8" s="255"/>
      <c r="O8" s="263"/>
      <c r="P8" s="263"/>
      <c r="Q8" s="263"/>
      <c r="R8" s="263"/>
      <c r="S8" s="263"/>
      <c r="T8" s="263"/>
      <c r="U8" s="263"/>
      <c r="V8" s="263"/>
      <c r="W8" s="264"/>
      <c r="X8" s="265"/>
      <c r="Y8" s="266"/>
      <c r="Z8" s="80" t="s">
        <v>125</v>
      </c>
      <c r="AA8" s="83"/>
      <c r="AB8" s="84"/>
      <c r="AC8" s="85"/>
      <c r="AD8" s="83">
        <v>0</v>
      </c>
      <c r="AE8" s="86"/>
    </row>
    <row r="9" spans="1:31" ht="15.75" x14ac:dyDescent="0.25">
      <c r="A9" s="259" t="s">
        <v>247</v>
      </c>
      <c r="B9" s="259">
        <v>1</v>
      </c>
      <c r="C9" s="259" t="s">
        <v>247</v>
      </c>
      <c r="D9" s="259" t="s">
        <v>248</v>
      </c>
      <c r="E9" s="260" t="s">
        <v>235</v>
      </c>
      <c r="F9" s="259" t="s">
        <v>246</v>
      </c>
      <c r="G9" s="251"/>
      <c r="H9" s="251" t="s">
        <v>249</v>
      </c>
      <c r="I9" s="252" t="s">
        <v>250</v>
      </c>
      <c r="J9" s="251">
        <v>1</v>
      </c>
      <c r="K9" s="251">
        <v>5</v>
      </c>
      <c r="L9" s="253"/>
      <c r="M9" s="254"/>
      <c r="N9" s="255">
        <v>1</v>
      </c>
      <c r="O9" s="252" t="s">
        <v>234</v>
      </c>
      <c r="P9" s="252">
        <v>16</v>
      </c>
      <c r="Q9" s="252">
        <v>8</v>
      </c>
      <c r="R9" s="252">
        <v>7</v>
      </c>
      <c r="S9" s="252" t="s">
        <v>6</v>
      </c>
      <c r="T9" s="252">
        <v>12</v>
      </c>
      <c r="U9" s="252" t="s">
        <v>233</v>
      </c>
      <c r="V9" s="252" t="s">
        <v>21</v>
      </c>
      <c r="W9" s="256">
        <v>1036</v>
      </c>
      <c r="X9" s="257">
        <v>33272</v>
      </c>
      <c r="Y9" s="258">
        <f>X9/W9</f>
        <v>32.115830115830114</v>
      </c>
      <c r="Z9" s="80" t="s">
        <v>125</v>
      </c>
      <c r="AA9" s="83">
        <v>24</v>
      </c>
      <c r="AB9" s="84">
        <v>365</v>
      </c>
      <c r="AC9" s="85">
        <v>3</v>
      </c>
      <c r="AD9" s="83">
        <v>26280</v>
      </c>
      <c r="AE9" s="86">
        <v>2</v>
      </c>
    </row>
    <row r="10" spans="1:31" ht="15.75" x14ac:dyDescent="0.25">
      <c r="A10" s="259" t="s">
        <v>251</v>
      </c>
      <c r="B10" s="259">
        <v>2</v>
      </c>
      <c r="C10" s="259"/>
      <c r="D10" s="259" t="s">
        <v>248</v>
      </c>
      <c r="E10" s="260"/>
      <c r="F10" s="259"/>
      <c r="G10" s="251"/>
      <c r="H10" s="251"/>
      <c r="I10" s="252"/>
      <c r="J10" s="251"/>
      <c r="K10" s="251"/>
      <c r="L10" s="253"/>
      <c r="M10" s="254"/>
      <c r="N10" s="255"/>
      <c r="O10" s="252"/>
      <c r="P10" s="252"/>
      <c r="Q10" s="252"/>
      <c r="R10" s="252"/>
      <c r="S10" s="252"/>
      <c r="T10" s="252"/>
      <c r="U10" s="252"/>
      <c r="V10" s="252"/>
      <c r="W10" s="256"/>
      <c r="X10" s="257"/>
      <c r="Y10" s="258"/>
      <c r="Z10" s="80" t="s">
        <v>125</v>
      </c>
      <c r="AA10" s="83"/>
      <c r="AB10" s="84"/>
      <c r="AC10" s="85"/>
      <c r="AD10" s="83">
        <v>0</v>
      </c>
      <c r="AE10" s="86"/>
    </row>
    <row r="11" spans="1:31" ht="15.75" x14ac:dyDescent="0.25">
      <c r="A11" s="259" t="s">
        <v>252</v>
      </c>
      <c r="B11" s="259">
        <v>3</v>
      </c>
      <c r="C11" s="259"/>
      <c r="D11" s="259" t="s">
        <v>248</v>
      </c>
      <c r="E11" s="260"/>
      <c r="F11" s="259"/>
      <c r="G11" s="251"/>
      <c r="H11" s="251"/>
      <c r="I11" s="252"/>
      <c r="J11" s="251"/>
      <c r="K11" s="251"/>
      <c r="L11" s="253"/>
      <c r="M11" s="254"/>
      <c r="N11" s="255"/>
      <c r="O11" s="252"/>
      <c r="P11" s="252"/>
      <c r="Q11" s="252"/>
      <c r="R11" s="252"/>
      <c r="S11" s="252"/>
      <c r="T11" s="252"/>
      <c r="U11" s="252"/>
      <c r="V11" s="252"/>
      <c r="W11" s="256"/>
      <c r="X11" s="257"/>
      <c r="Y11" s="258"/>
      <c r="Z11" s="80" t="s">
        <v>125</v>
      </c>
      <c r="AA11" s="83"/>
      <c r="AB11" s="84"/>
      <c r="AC11" s="85"/>
      <c r="AD11" s="83">
        <v>0</v>
      </c>
      <c r="AE11" s="86"/>
    </row>
    <row r="12" spans="1:31" ht="15.75" x14ac:dyDescent="0.25">
      <c r="A12" s="259" t="s">
        <v>253</v>
      </c>
      <c r="B12" s="259">
        <v>4</v>
      </c>
      <c r="C12" s="259"/>
      <c r="D12" s="259" t="s">
        <v>248</v>
      </c>
      <c r="E12" s="260"/>
      <c r="F12" s="259"/>
      <c r="G12" s="251"/>
      <c r="H12" s="251"/>
      <c r="I12" s="252"/>
      <c r="J12" s="251"/>
      <c r="K12" s="251"/>
      <c r="L12" s="253"/>
      <c r="M12" s="254"/>
      <c r="N12" s="255"/>
      <c r="O12" s="252"/>
      <c r="P12" s="252"/>
      <c r="Q12" s="252"/>
      <c r="R12" s="252"/>
      <c r="S12" s="252"/>
      <c r="T12" s="252"/>
      <c r="U12" s="252"/>
      <c r="V12" s="252"/>
      <c r="W12" s="256"/>
      <c r="X12" s="257"/>
      <c r="Y12" s="258"/>
      <c r="Z12" s="80" t="s">
        <v>125</v>
      </c>
      <c r="AA12" s="83"/>
      <c r="AB12" s="84"/>
      <c r="AC12" s="85"/>
      <c r="AD12" s="83">
        <v>0</v>
      </c>
      <c r="AE12" s="86"/>
    </row>
    <row r="13" spans="1:31" ht="15.75" x14ac:dyDescent="0.25">
      <c r="A13" s="259" t="s">
        <v>254</v>
      </c>
      <c r="B13" s="259">
        <v>5</v>
      </c>
      <c r="C13" s="259"/>
      <c r="D13" s="259" t="s">
        <v>248</v>
      </c>
      <c r="E13" s="260"/>
      <c r="F13" s="259"/>
      <c r="G13" s="251"/>
      <c r="H13" s="251"/>
      <c r="I13" s="252"/>
      <c r="J13" s="251"/>
      <c r="K13" s="251"/>
      <c r="L13" s="253"/>
      <c r="M13" s="254"/>
      <c r="N13" s="255"/>
      <c r="O13" s="252"/>
      <c r="P13" s="252"/>
      <c r="Q13" s="252"/>
      <c r="R13" s="252"/>
      <c r="S13" s="252"/>
      <c r="T13" s="252"/>
      <c r="U13" s="252"/>
      <c r="V13" s="252"/>
      <c r="W13" s="256"/>
      <c r="X13" s="257"/>
      <c r="Y13" s="258"/>
      <c r="Z13" s="80" t="s">
        <v>125</v>
      </c>
      <c r="AA13" s="83"/>
      <c r="AB13" s="84"/>
      <c r="AC13" s="85"/>
      <c r="AD13" s="83">
        <v>0</v>
      </c>
      <c r="AE13" s="86"/>
    </row>
    <row r="14" spans="1:31" ht="15.75" x14ac:dyDescent="0.25">
      <c r="A14" s="259" t="s">
        <v>255</v>
      </c>
      <c r="B14" s="259">
        <v>6</v>
      </c>
      <c r="C14" s="259"/>
      <c r="D14" s="259" t="s">
        <v>248</v>
      </c>
      <c r="E14" s="260"/>
      <c r="F14" s="259"/>
      <c r="G14" s="251"/>
      <c r="H14" s="251"/>
      <c r="I14" s="252"/>
      <c r="J14" s="251"/>
      <c r="K14" s="251"/>
      <c r="L14" s="253"/>
      <c r="M14" s="254"/>
      <c r="N14" s="255"/>
      <c r="O14" s="252"/>
      <c r="P14" s="252"/>
      <c r="Q14" s="252"/>
      <c r="R14" s="252"/>
      <c r="S14" s="252"/>
      <c r="T14" s="252"/>
      <c r="U14" s="252"/>
      <c r="V14" s="252"/>
      <c r="W14" s="256"/>
      <c r="X14" s="257"/>
      <c r="Y14" s="258"/>
      <c r="Z14" s="80" t="s">
        <v>125</v>
      </c>
      <c r="AA14" s="83"/>
      <c r="AB14" s="84"/>
      <c r="AC14" s="85"/>
      <c r="AD14" s="83">
        <v>0</v>
      </c>
      <c r="AE14" s="86"/>
    </row>
    <row r="15" spans="1:31" ht="15.75" x14ac:dyDescent="0.25">
      <c r="A15" s="261" t="s">
        <v>267</v>
      </c>
      <c r="B15" s="261">
        <v>1</v>
      </c>
      <c r="C15" s="261" t="s">
        <v>267</v>
      </c>
      <c r="D15" s="261" t="s">
        <v>268</v>
      </c>
      <c r="E15" s="260" t="s">
        <v>265</v>
      </c>
      <c r="F15" s="261" t="s">
        <v>266</v>
      </c>
      <c r="G15" s="262"/>
      <c r="H15" s="262" t="s">
        <v>269</v>
      </c>
      <c r="I15" s="263" t="s">
        <v>270</v>
      </c>
      <c r="J15" s="262">
        <v>3</v>
      </c>
      <c r="K15" s="262">
        <v>7</v>
      </c>
      <c r="L15" s="253"/>
      <c r="M15" s="254"/>
      <c r="N15" s="255">
        <v>1</v>
      </c>
      <c r="O15" s="263" t="s">
        <v>234</v>
      </c>
      <c r="P15" s="263">
        <v>16</v>
      </c>
      <c r="Q15" s="263">
        <v>8</v>
      </c>
      <c r="R15" s="263">
        <v>7</v>
      </c>
      <c r="S15" s="263" t="s">
        <v>6</v>
      </c>
      <c r="T15" s="263">
        <v>12</v>
      </c>
      <c r="U15" s="263" t="s">
        <v>233</v>
      </c>
      <c r="V15" s="263" t="s">
        <v>21</v>
      </c>
      <c r="W15" s="264">
        <v>3786</v>
      </c>
      <c r="X15" s="265">
        <v>100609</v>
      </c>
      <c r="Y15" s="266">
        <v>26.278883183568677</v>
      </c>
      <c r="Z15" s="80" t="s">
        <v>125</v>
      </c>
      <c r="AA15" s="83">
        <v>24</v>
      </c>
      <c r="AB15" s="84">
        <v>365</v>
      </c>
      <c r="AC15" s="85">
        <v>3</v>
      </c>
      <c r="AD15" s="83">
        <v>26280</v>
      </c>
      <c r="AE15" s="86">
        <v>2</v>
      </c>
    </row>
    <row r="16" spans="1:31" ht="15.75" x14ac:dyDescent="0.25">
      <c r="A16" s="261" t="s">
        <v>277</v>
      </c>
      <c r="B16" s="261">
        <v>2</v>
      </c>
      <c r="C16" s="261"/>
      <c r="D16" s="261" t="s">
        <v>268</v>
      </c>
      <c r="E16" s="260"/>
      <c r="F16" s="261"/>
      <c r="G16" s="262"/>
      <c r="H16" s="262"/>
      <c r="I16" s="263"/>
      <c r="J16" s="262"/>
      <c r="K16" s="262"/>
      <c r="L16" s="253"/>
      <c r="M16" s="254"/>
      <c r="N16" s="255"/>
      <c r="O16" s="263"/>
      <c r="P16" s="263"/>
      <c r="Q16" s="263"/>
      <c r="R16" s="263"/>
      <c r="S16" s="263"/>
      <c r="T16" s="263"/>
      <c r="U16" s="263"/>
      <c r="V16" s="263"/>
      <c r="W16" s="264"/>
      <c r="X16" s="265"/>
      <c r="Y16" s="266"/>
      <c r="Z16" s="80" t="s">
        <v>125</v>
      </c>
      <c r="AA16" s="83"/>
      <c r="AB16" s="84"/>
      <c r="AC16" s="85"/>
      <c r="AD16" s="83">
        <v>0</v>
      </c>
      <c r="AE16" s="86"/>
    </row>
    <row r="17" spans="1:31" ht="15.75" x14ac:dyDescent="0.25">
      <c r="A17" s="261" t="s">
        <v>278</v>
      </c>
      <c r="B17" s="261">
        <v>3</v>
      </c>
      <c r="C17" s="261"/>
      <c r="D17" s="261" t="s">
        <v>268</v>
      </c>
      <c r="E17" s="260"/>
      <c r="F17" s="261"/>
      <c r="G17" s="262"/>
      <c r="H17" s="262"/>
      <c r="I17" s="263"/>
      <c r="J17" s="262"/>
      <c r="K17" s="262"/>
      <c r="L17" s="253"/>
      <c r="M17" s="254"/>
      <c r="N17" s="255"/>
      <c r="O17" s="263"/>
      <c r="P17" s="263"/>
      <c r="Q17" s="263"/>
      <c r="R17" s="263"/>
      <c r="S17" s="263"/>
      <c r="T17" s="263"/>
      <c r="U17" s="263"/>
      <c r="V17" s="263"/>
      <c r="W17" s="264"/>
      <c r="X17" s="265"/>
      <c r="Y17" s="266"/>
      <c r="Z17" s="80" t="s">
        <v>125</v>
      </c>
      <c r="AA17" s="83"/>
      <c r="AB17" s="84"/>
      <c r="AC17" s="85"/>
      <c r="AD17" s="83">
        <v>0</v>
      </c>
      <c r="AE17" s="86"/>
    </row>
    <row r="18" spans="1:31" ht="15.75" x14ac:dyDescent="0.25">
      <c r="A18" s="261" t="s">
        <v>279</v>
      </c>
      <c r="B18" s="261">
        <v>4</v>
      </c>
      <c r="C18" s="261"/>
      <c r="D18" s="261" t="s">
        <v>268</v>
      </c>
      <c r="E18" s="260"/>
      <c r="F18" s="261"/>
      <c r="G18" s="262"/>
      <c r="H18" s="262"/>
      <c r="I18" s="263"/>
      <c r="J18" s="262"/>
      <c r="K18" s="262"/>
      <c r="L18" s="253"/>
      <c r="M18" s="254"/>
      <c r="N18" s="255"/>
      <c r="O18" s="263"/>
      <c r="P18" s="263"/>
      <c r="Q18" s="263"/>
      <c r="R18" s="263"/>
      <c r="S18" s="263"/>
      <c r="T18" s="263"/>
      <c r="U18" s="263"/>
      <c r="V18" s="263"/>
      <c r="W18" s="264"/>
      <c r="X18" s="265"/>
      <c r="Y18" s="266"/>
      <c r="Z18" s="80" t="s">
        <v>125</v>
      </c>
      <c r="AA18" s="83"/>
      <c r="AB18" s="84"/>
      <c r="AC18" s="85"/>
      <c r="AD18" s="83">
        <v>0</v>
      </c>
      <c r="AE18" s="86"/>
    </row>
    <row r="19" spans="1:31" ht="15.75" x14ac:dyDescent="0.25">
      <c r="A19" s="261" t="s">
        <v>280</v>
      </c>
      <c r="B19" s="261">
        <v>5</v>
      </c>
      <c r="C19" s="261"/>
      <c r="D19" s="261" t="s">
        <v>268</v>
      </c>
      <c r="E19" s="260"/>
      <c r="F19" s="261"/>
      <c r="G19" s="262"/>
      <c r="H19" s="262"/>
      <c r="I19" s="263"/>
      <c r="J19" s="262"/>
      <c r="K19" s="262"/>
      <c r="L19" s="253"/>
      <c r="M19" s="254"/>
      <c r="N19" s="255"/>
      <c r="O19" s="263"/>
      <c r="P19" s="263"/>
      <c r="Q19" s="263"/>
      <c r="R19" s="263"/>
      <c r="S19" s="263"/>
      <c r="T19" s="263"/>
      <c r="U19" s="263"/>
      <c r="V19" s="263"/>
      <c r="W19" s="264"/>
      <c r="X19" s="265"/>
      <c r="Y19" s="266"/>
      <c r="Z19" s="80" t="s">
        <v>125</v>
      </c>
      <c r="AA19" s="83"/>
      <c r="AB19" s="84"/>
      <c r="AC19" s="85"/>
      <c r="AD19" s="83">
        <v>0</v>
      </c>
      <c r="AE19" s="86"/>
    </row>
    <row r="20" spans="1:31" ht="15.75" x14ac:dyDescent="0.25">
      <c r="A20" s="261" t="s">
        <v>281</v>
      </c>
      <c r="B20" s="261">
        <v>6</v>
      </c>
      <c r="C20" s="261"/>
      <c r="D20" s="261" t="s">
        <v>268</v>
      </c>
      <c r="E20" s="260"/>
      <c r="F20" s="261"/>
      <c r="G20" s="262"/>
      <c r="H20" s="262"/>
      <c r="I20" s="263"/>
      <c r="J20" s="262"/>
      <c r="K20" s="262"/>
      <c r="L20" s="253"/>
      <c r="M20" s="254"/>
      <c r="N20" s="255"/>
      <c r="O20" s="263"/>
      <c r="P20" s="263"/>
      <c r="Q20" s="263"/>
      <c r="R20" s="263"/>
      <c r="S20" s="263"/>
      <c r="T20" s="263"/>
      <c r="U20" s="263"/>
      <c r="V20" s="263"/>
      <c r="W20" s="264"/>
      <c r="X20" s="265"/>
      <c r="Y20" s="266"/>
      <c r="Z20" s="80" t="s">
        <v>125</v>
      </c>
      <c r="AA20" s="83"/>
      <c r="AB20" s="84"/>
      <c r="AC20" s="85"/>
      <c r="AD20" s="83">
        <v>0</v>
      </c>
      <c r="AE20" s="86"/>
    </row>
    <row r="21" spans="1:31" ht="15.75" x14ac:dyDescent="0.25">
      <c r="A21" s="259" t="s">
        <v>258</v>
      </c>
      <c r="B21" s="259">
        <v>1</v>
      </c>
      <c r="C21" s="259" t="s">
        <v>258</v>
      </c>
      <c r="D21" s="259" t="s">
        <v>259</v>
      </c>
      <c r="E21" s="260" t="s">
        <v>257</v>
      </c>
      <c r="F21" s="259" t="s">
        <v>260</v>
      </c>
      <c r="G21" s="251"/>
      <c r="H21" s="251" t="s">
        <v>261</v>
      </c>
      <c r="I21" s="252" t="s">
        <v>6</v>
      </c>
      <c r="J21" s="251" t="s">
        <v>6</v>
      </c>
      <c r="K21" s="251" t="s">
        <v>6</v>
      </c>
      <c r="L21" s="253"/>
      <c r="M21" s="254">
        <v>0.5</v>
      </c>
      <c r="N21" s="255"/>
      <c r="O21" s="252" t="s">
        <v>256</v>
      </c>
      <c r="P21" s="252">
        <v>12</v>
      </c>
      <c r="Q21" s="252">
        <v>0</v>
      </c>
      <c r="R21" s="252">
        <v>7</v>
      </c>
      <c r="S21" s="252" t="s">
        <v>6</v>
      </c>
      <c r="T21" s="252">
        <v>12</v>
      </c>
      <c r="U21" s="252" t="s">
        <v>21</v>
      </c>
      <c r="V21" s="252" t="s">
        <v>21</v>
      </c>
      <c r="W21" s="256">
        <v>528</v>
      </c>
      <c r="X21" s="257">
        <v>266987</v>
      </c>
      <c r="Y21" s="258">
        <v>49.532976827094473</v>
      </c>
      <c r="Z21" s="80" t="s">
        <v>125</v>
      </c>
      <c r="AA21" s="83">
        <v>12</v>
      </c>
      <c r="AB21" s="84">
        <v>365</v>
      </c>
      <c r="AC21" s="85">
        <v>2</v>
      </c>
      <c r="AD21" s="83">
        <v>8760</v>
      </c>
      <c r="AE21" s="86">
        <v>2</v>
      </c>
    </row>
    <row r="22" spans="1:31" ht="15.75" x14ac:dyDescent="0.25">
      <c r="A22" s="259" t="s">
        <v>262</v>
      </c>
      <c r="B22" s="259">
        <v>2</v>
      </c>
      <c r="C22" s="259" t="s">
        <v>262</v>
      </c>
      <c r="D22" s="259" t="s">
        <v>259</v>
      </c>
      <c r="E22" s="260" t="s">
        <v>257</v>
      </c>
      <c r="F22" s="259" t="s">
        <v>260</v>
      </c>
      <c r="G22" s="251"/>
      <c r="H22" s="251" t="s">
        <v>263</v>
      </c>
      <c r="I22" s="252" t="s">
        <v>264</v>
      </c>
      <c r="J22" s="251">
        <v>1</v>
      </c>
      <c r="K22" s="251">
        <v>4</v>
      </c>
      <c r="L22" s="253"/>
      <c r="M22" s="254"/>
      <c r="N22" s="255">
        <v>0.5</v>
      </c>
      <c r="O22" s="252" t="s">
        <v>234</v>
      </c>
      <c r="P22" s="252">
        <v>0</v>
      </c>
      <c r="Q22" s="252">
        <v>12</v>
      </c>
      <c r="R22" s="252">
        <v>7</v>
      </c>
      <c r="S22" s="252" t="s">
        <v>6</v>
      </c>
      <c r="T22" s="252">
        <v>12</v>
      </c>
      <c r="U22" s="252" t="s">
        <v>233</v>
      </c>
      <c r="V22" s="252" t="s">
        <v>21</v>
      </c>
      <c r="W22" s="256">
        <v>269</v>
      </c>
      <c r="X22" s="257">
        <v>13436</v>
      </c>
      <c r="Y22" s="258">
        <v>48.380753138075313</v>
      </c>
      <c r="Z22" s="80" t="s">
        <v>125</v>
      </c>
      <c r="AA22" s="83">
        <v>12</v>
      </c>
      <c r="AB22" s="84">
        <v>365</v>
      </c>
      <c r="AC22" s="85">
        <v>3</v>
      </c>
      <c r="AD22" s="83">
        <v>13140</v>
      </c>
      <c r="AE22" s="86">
        <v>2</v>
      </c>
    </row>
    <row r="23" spans="1:31" ht="15.75" x14ac:dyDescent="0.25">
      <c r="A23" s="259" t="s">
        <v>285</v>
      </c>
      <c r="B23" s="259">
        <v>3</v>
      </c>
      <c r="C23" s="259"/>
      <c r="D23" s="259" t="s">
        <v>259</v>
      </c>
      <c r="E23" s="260"/>
      <c r="F23" s="259"/>
      <c r="G23" s="251"/>
      <c r="H23" s="251"/>
      <c r="I23" s="252"/>
      <c r="J23" s="251"/>
      <c r="K23" s="251"/>
      <c r="L23" s="253"/>
      <c r="M23" s="254"/>
      <c r="N23" s="255"/>
      <c r="O23" s="252"/>
      <c r="P23" s="252"/>
      <c r="Q23" s="252"/>
      <c r="R23" s="252"/>
      <c r="S23" s="252"/>
      <c r="T23" s="252"/>
      <c r="U23" s="252"/>
      <c r="V23" s="252"/>
      <c r="W23" s="256"/>
      <c r="X23" s="257"/>
      <c r="Y23" s="258"/>
      <c r="Z23" s="80" t="s">
        <v>125</v>
      </c>
      <c r="AA23" s="83"/>
      <c r="AB23" s="84"/>
      <c r="AC23" s="85"/>
      <c r="AD23" s="83">
        <v>0</v>
      </c>
      <c r="AE23" s="86"/>
    </row>
    <row r="24" spans="1:31" ht="15.75" x14ac:dyDescent="0.25">
      <c r="A24" s="259" t="s">
        <v>282</v>
      </c>
      <c r="B24" s="259">
        <v>4</v>
      </c>
      <c r="C24" s="259"/>
      <c r="D24" s="259" t="s">
        <v>259</v>
      </c>
      <c r="E24" s="260"/>
      <c r="F24" s="259"/>
      <c r="G24" s="251"/>
      <c r="H24" s="251"/>
      <c r="I24" s="252"/>
      <c r="J24" s="251"/>
      <c r="K24" s="251"/>
      <c r="L24" s="253"/>
      <c r="M24" s="254"/>
      <c r="N24" s="255"/>
      <c r="O24" s="252"/>
      <c r="P24" s="252"/>
      <c r="Q24" s="252"/>
      <c r="R24" s="252"/>
      <c r="S24" s="252"/>
      <c r="T24" s="252"/>
      <c r="U24" s="252"/>
      <c r="V24" s="252"/>
      <c r="W24" s="256"/>
      <c r="X24" s="257"/>
      <c r="Y24" s="258"/>
      <c r="Z24" s="80" t="s">
        <v>125</v>
      </c>
      <c r="AA24" s="83"/>
      <c r="AB24" s="84"/>
      <c r="AC24" s="85"/>
      <c r="AD24" s="83">
        <v>0</v>
      </c>
      <c r="AE24" s="86"/>
    </row>
    <row r="25" spans="1:31" ht="15.75" x14ac:dyDescent="0.25">
      <c r="A25" s="259" t="s">
        <v>283</v>
      </c>
      <c r="B25" s="259">
        <v>5</v>
      </c>
      <c r="C25" s="259"/>
      <c r="D25" s="259" t="s">
        <v>259</v>
      </c>
      <c r="E25" s="260"/>
      <c r="F25" s="259"/>
      <c r="G25" s="251"/>
      <c r="H25" s="251"/>
      <c r="I25" s="252"/>
      <c r="J25" s="251"/>
      <c r="K25" s="251"/>
      <c r="L25" s="253"/>
      <c r="M25" s="254"/>
      <c r="N25" s="255"/>
      <c r="O25" s="252"/>
      <c r="P25" s="252"/>
      <c r="Q25" s="252"/>
      <c r="R25" s="252"/>
      <c r="S25" s="252"/>
      <c r="T25" s="252"/>
      <c r="U25" s="252"/>
      <c r="V25" s="252"/>
      <c r="W25" s="256"/>
      <c r="X25" s="257"/>
      <c r="Y25" s="258"/>
      <c r="Z25" s="80" t="s">
        <v>125</v>
      </c>
      <c r="AA25" s="83"/>
      <c r="AB25" s="84"/>
      <c r="AC25" s="85"/>
      <c r="AD25" s="83">
        <v>0</v>
      </c>
      <c r="AE25" s="86"/>
    </row>
    <row r="26" spans="1:31" ht="15.75" x14ac:dyDescent="0.25">
      <c r="A26" s="259" t="s">
        <v>284</v>
      </c>
      <c r="B26" s="259">
        <v>6</v>
      </c>
      <c r="C26" s="259"/>
      <c r="D26" s="259" t="s">
        <v>259</v>
      </c>
      <c r="E26" s="260"/>
      <c r="F26" s="259"/>
      <c r="G26" s="251"/>
      <c r="H26" s="251"/>
      <c r="I26" s="252"/>
      <c r="J26" s="251"/>
      <c r="K26" s="251"/>
      <c r="L26" s="253"/>
      <c r="M26" s="254"/>
      <c r="N26" s="255"/>
      <c r="O26" s="252"/>
      <c r="P26" s="252"/>
      <c r="Q26" s="252"/>
      <c r="R26" s="252"/>
      <c r="S26" s="252"/>
      <c r="T26" s="252"/>
      <c r="U26" s="252"/>
      <c r="V26" s="252"/>
      <c r="W26" s="256"/>
      <c r="X26" s="257"/>
      <c r="Y26" s="258"/>
      <c r="Z26" s="80" t="s">
        <v>125</v>
      </c>
      <c r="AA26" s="83"/>
      <c r="AB26" s="84"/>
      <c r="AC26" s="85"/>
      <c r="AD26" s="83">
        <v>0</v>
      </c>
      <c r="AE26" s="86"/>
    </row>
    <row r="27" spans="1:31" ht="15.75" x14ac:dyDescent="0.25">
      <c r="A27" s="261" t="s">
        <v>273</v>
      </c>
      <c r="B27" s="261">
        <v>1</v>
      </c>
      <c r="C27" s="261" t="s">
        <v>273</v>
      </c>
      <c r="D27" s="261" t="s">
        <v>274</v>
      </c>
      <c r="E27" s="260" t="s">
        <v>271</v>
      </c>
      <c r="F27" s="261" t="s">
        <v>272</v>
      </c>
      <c r="G27" s="262"/>
      <c r="H27" s="262" t="s">
        <v>275</v>
      </c>
      <c r="I27" s="263" t="s">
        <v>276</v>
      </c>
      <c r="J27" s="262">
        <v>2</v>
      </c>
      <c r="K27" s="262">
        <v>4</v>
      </c>
      <c r="L27" s="253"/>
      <c r="M27" s="254"/>
      <c r="N27" s="255">
        <v>0.86301369863013699</v>
      </c>
      <c r="O27" s="263" t="s">
        <v>256</v>
      </c>
      <c r="P27" s="263">
        <v>12</v>
      </c>
      <c r="Q27" s="263">
        <v>12</v>
      </c>
      <c r="R27" s="263">
        <v>7</v>
      </c>
      <c r="S27" s="263" t="s">
        <v>6</v>
      </c>
      <c r="T27" s="263">
        <v>10.25</v>
      </c>
      <c r="U27" s="263" t="s">
        <v>233</v>
      </c>
      <c r="V27" s="263" t="s">
        <v>21</v>
      </c>
      <c r="W27" s="264">
        <v>480</v>
      </c>
      <c r="X27" s="265">
        <v>16525</v>
      </c>
      <c r="Y27" s="266">
        <v>28.71039603960396</v>
      </c>
      <c r="Z27" s="80" t="s">
        <v>125</v>
      </c>
      <c r="AA27" s="83">
        <v>24</v>
      </c>
      <c r="AB27" s="84">
        <v>311.77083333333337</v>
      </c>
      <c r="AC27" s="85">
        <v>1.7083333333333333</v>
      </c>
      <c r="AD27" s="83">
        <v>14965</v>
      </c>
      <c r="AE27" s="86">
        <v>2</v>
      </c>
    </row>
    <row r="28" spans="1:31" ht="15.75" x14ac:dyDescent="0.25">
      <c r="A28" s="261" t="s">
        <v>286</v>
      </c>
      <c r="B28" s="261">
        <v>2</v>
      </c>
      <c r="C28" s="261"/>
      <c r="D28" s="261" t="s">
        <v>274</v>
      </c>
      <c r="E28" s="260"/>
      <c r="F28" s="261"/>
      <c r="G28" s="262"/>
      <c r="H28" s="262"/>
      <c r="I28" s="263"/>
      <c r="J28" s="262"/>
      <c r="K28" s="262"/>
      <c r="L28" s="253"/>
      <c r="M28" s="254"/>
      <c r="N28" s="255"/>
      <c r="O28" s="263"/>
      <c r="P28" s="263"/>
      <c r="Q28" s="263"/>
      <c r="R28" s="263"/>
      <c r="S28" s="263"/>
      <c r="T28" s="263"/>
      <c r="U28" s="263"/>
      <c r="V28" s="263"/>
      <c r="W28" s="264"/>
      <c r="X28" s="265"/>
      <c r="Y28" s="266"/>
      <c r="Z28" s="80" t="s">
        <v>125</v>
      </c>
      <c r="AA28" s="83"/>
      <c r="AB28" s="84"/>
      <c r="AC28" s="85"/>
      <c r="AD28" s="83">
        <v>0</v>
      </c>
      <c r="AE28" s="86"/>
    </row>
    <row r="29" spans="1:31" ht="15.75" x14ac:dyDescent="0.25">
      <c r="A29" s="261" t="s">
        <v>287</v>
      </c>
      <c r="B29" s="261">
        <v>3</v>
      </c>
      <c r="C29" s="261"/>
      <c r="D29" s="261" t="s">
        <v>274</v>
      </c>
      <c r="E29" s="260"/>
      <c r="F29" s="261"/>
      <c r="G29" s="262"/>
      <c r="H29" s="262"/>
      <c r="I29" s="263"/>
      <c r="J29" s="262"/>
      <c r="K29" s="262"/>
      <c r="L29" s="253"/>
      <c r="M29" s="254"/>
      <c r="N29" s="255"/>
      <c r="O29" s="263"/>
      <c r="P29" s="263"/>
      <c r="Q29" s="263"/>
      <c r="R29" s="263"/>
      <c r="S29" s="263"/>
      <c r="T29" s="263"/>
      <c r="U29" s="263"/>
      <c r="V29" s="263"/>
      <c r="W29" s="264"/>
      <c r="X29" s="265"/>
      <c r="Y29" s="266"/>
      <c r="Z29" s="80" t="s">
        <v>125</v>
      </c>
      <c r="AA29" s="83"/>
      <c r="AB29" s="84"/>
      <c r="AC29" s="85"/>
      <c r="AD29" s="83">
        <v>0</v>
      </c>
      <c r="AE29" s="86"/>
    </row>
    <row r="30" spans="1:31" ht="15.75" x14ac:dyDescent="0.25">
      <c r="A30" s="261" t="s">
        <v>288</v>
      </c>
      <c r="B30" s="261">
        <v>4</v>
      </c>
      <c r="C30" s="261"/>
      <c r="D30" s="261" t="s">
        <v>274</v>
      </c>
      <c r="E30" s="260"/>
      <c r="F30" s="261"/>
      <c r="G30" s="262"/>
      <c r="H30" s="262"/>
      <c r="I30" s="263"/>
      <c r="J30" s="262"/>
      <c r="K30" s="262"/>
      <c r="L30" s="253"/>
      <c r="M30" s="254"/>
      <c r="N30" s="255"/>
      <c r="O30" s="263"/>
      <c r="P30" s="263"/>
      <c r="Q30" s="263"/>
      <c r="R30" s="263"/>
      <c r="S30" s="263"/>
      <c r="T30" s="263"/>
      <c r="U30" s="263"/>
      <c r="V30" s="263"/>
      <c r="W30" s="264"/>
      <c r="X30" s="265"/>
      <c r="Y30" s="266"/>
      <c r="Z30" s="80" t="s">
        <v>125</v>
      </c>
      <c r="AA30" s="83"/>
      <c r="AB30" s="84"/>
      <c r="AC30" s="85"/>
      <c r="AD30" s="83">
        <v>0</v>
      </c>
      <c r="AE30" s="86"/>
    </row>
    <row r="31" spans="1:31" ht="15.75" x14ac:dyDescent="0.25">
      <c r="A31" s="261" t="s">
        <v>289</v>
      </c>
      <c r="B31" s="261">
        <v>5</v>
      </c>
      <c r="C31" s="261"/>
      <c r="D31" s="261" t="s">
        <v>274</v>
      </c>
      <c r="E31" s="260"/>
      <c r="F31" s="261"/>
      <c r="G31" s="262"/>
      <c r="H31" s="262"/>
      <c r="I31" s="263"/>
      <c r="J31" s="262"/>
      <c r="K31" s="262"/>
      <c r="L31" s="253"/>
      <c r="M31" s="254"/>
      <c r="N31" s="255"/>
      <c r="O31" s="263"/>
      <c r="P31" s="263"/>
      <c r="Q31" s="263"/>
      <c r="R31" s="263"/>
      <c r="S31" s="263"/>
      <c r="T31" s="263"/>
      <c r="U31" s="263"/>
      <c r="V31" s="263"/>
      <c r="W31" s="264"/>
      <c r="X31" s="265"/>
      <c r="Y31" s="266"/>
      <c r="Z31" s="80" t="s">
        <v>125</v>
      </c>
      <c r="AA31" s="83"/>
      <c r="AB31" s="84"/>
      <c r="AC31" s="85"/>
      <c r="AD31" s="83">
        <v>0</v>
      </c>
      <c r="AE31" s="86"/>
    </row>
    <row r="32" spans="1:31" ht="15.75" x14ac:dyDescent="0.25">
      <c r="A32" s="261" t="s">
        <v>290</v>
      </c>
      <c r="B32" s="261">
        <v>6</v>
      </c>
      <c r="C32" s="261"/>
      <c r="D32" s="261" t="s">
        <v>274</v>
      </c>
      <c r="E32" s="260"/>
      <c r="F32" s="261"/>
      <c r="G32" s="262"/>
      <c r="H32" s="262"/>
      <c r="I32" s="263"/>
      <c r="J32" s="262"/>
      <c r="K32" s="262"/>
      <c r="L32" s="253"/>
      <c r="M32" s="254"/>
      <c r="N32" s="255"/>
      <c r="O32" s="263"/>
      <c r="P32" s="263"/>
      <c r="Q32" s="263"/>
      <c r="R32" s="263"/>
      <c r="S32" s="263"/>
      <c r="T32" s="263"/>
      <c r="U32" s="263"/>
      <c r="V32" s="263"/>
      <c r="W32" s="264"/>
      <c r="X32" s="265"/>
      <c r="Y32" s="266"/>
      <c r="Z32" s="80" t="s">
        <v>125</v>
      </c>
      <c r="AA32" s="83"/>
      <c r="AB32" s="84"/>
      <c r="AC32" s="85"/>
      <c r="AD32" s="83">
        <v>0</v>
      </c>
      <c r="AE32" s="86"/>
    </row>
  </sheetData>
  <autoFilter ref="A2:AE2" xr:uid="{00000000-0009-0000-0000-000001000000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11"/>
  <sheetViews>
    <sheetView showGridLines="0" tabSelected="1" topLeftCell="C1" zoomScale="55" zoomScaleNormal="55" workbookViewId="0">
      <selection activeCell="M85" sqref="M85"/>
    </sheetView>
  </sheetViews>
  <sheetFormatPr defaultColWidth="9.140625" defaultRowHeight="20.25" x14ac:dyDescent="0.3"/>
  <cols>
    <col min="1" max="2" width="16.28515625" style="7" hidden="1" customWidth="1"/>
    <col min="3" max="3" width="6.28515625" style="7" customWidth="1"/>
    <col min="4" max="4" width="35" style="7" customWidth="1"/>
    <col min="5" max="5" width="64.42578125" style="7" customWidth="1"/>
    <col min="6" max="6" width="23.42578125" style="7" customWidth="1"/>
    <col min="7" max="7" width="18.42578125" style="7" customWidth="1"/>
    <col min="8" max="8" width="19.28515625" style="7" bestFit="1" customWidth="1"/>
    <col min="9" max="9" width="19.5703125" style="7" customWidth="1"/>
    <col min="10" max="10" width="25.42578125" style="7" customWidth="1"/>
    <col min="11" max="11" width="23.5703125" style="7" bestFit="1" customWidth="1"/>
    <col min="12" max="12" width="18.42578125" style="7" customWidth="1"/>
    <col min="13" max="13" width="18.85546875" style="7" customWidth="1"/>
    <col min="14" max="15" width="14.140625" style="7" customWidth="1"/>
    <col min="16" max="16" width="21" style="7" customWidth="1"/>
    <col min="17" max="18" width="14.42578125" style="7" customWidth="1"/>
    <col min="19" max="19" width="14.42578125" style="8" customWidth="1"/>
    <col min="20" max="20" width="9.42578125" style="7" customWidth="1"/>
    <col min="21" max="21" width="15.28515625" style="7" bestFit="1" customWidth="1"/>
    <col min="22" max="22" width="14.140625" style="7" customWidth="1"/>
    <col min="23" max="23" width="9.140625" style="7"/>
    <col min="24" max="24" width="16.140625" style="7" customWidth="1"/>
    <col min="25" max="16384" width="9.140625" style="7"/>
  </cols>
  <sheetData>
    <row r="1" spans="2:19" ht="62.25" customHeight="1" x14ac:dyDescent="0.3">
      <c r="D1" s="72" t="s">
        <v>232</v>
      </c>
      <c r="E1" s="3"/>
      <c r="F1" s="3"/>
      <c r="G1" s="3"/>
      <c r="H1" s="3"/>
      <c r="J1" s="3"/>
      <c r="K1" s="3"/>
      <c r="L1" s="3"/>
      <c r="M1" s="3"/>
      <c r="N1" s="3"/>
      <c r="R1" s="8"/>
      <c r="S1" s="7"/>
    </row>
    <row r="2" spans="2:19" ht="21" thickBot="1" x14ac:dyDescent="0.35">
      <c r="D2" s="9" t="s">
        <v>126</v>
      </c>
      <c r="E2" s="3"/>
      <c r="F2" s="3"/>
      <c r="G2" s="3"/>
      <c r="H2" s="3"/>
      <c r="J2" s="3"/>
      <c r="K2" s="3"/>
      <c r="L2" s="3"/>
      <c r="M2" s="3"/>
      <c r="N2" s="3"/>
      <c r="R2" s="8"/>
      <c r="S2" s="7"/>
    </row>
    <row r="3" spans="2:19" x14ac:dyDescent="0.3">
      <c r="D3" s="10" t="s">
        <v>131</v>
      </c>
      <c r="E3" s="2"/>
      <c r="F3" s="2"/>
      <c r="G3" s="2"/>
      <c r="H3" s="2"/>
      <c r="I3" s="2"/>
      <c r="J3" s="2"/>
      <c r="K3" s="2"/>
      <c r="L3" s="2"/>
      <c r="M3" s="2"/>
      <c r="N3" s="2"/>
      <c r="O3" s="11"/>
      <c r="P3" s="12"/>
      <c r="R3" s="8"/>
      <c r="S3" s="7"/>
    </row>
    <row r="4" spans="2:19" ht="38.25" customHeight="1" x14ac:dyDescent="0.3">
      <c r="D4" s="13" t="s">
        <v>127</v>
      </c>
      <c r="E4" s="3"/>
      <c r="F4" s="3"/>
      <c r="G4" s="3"/>
      <c r="H4" s="3"/>
      <c r="I4" s="3"/>
      <c r="J4" s="3"/>
      <c r="K4" s="3"/>
      <c r="L4" s="3"/>
      <c r="M4" s="3"/>
      <c r="N4" s="3"/>
      <c r="P4" s="14"/>
      <c r="R4" s="8"/>
      <c r="S4" s="7"/>
    </row>
    <row r="5" spans="2:19" ht="43.5" customHeight="1" x14ac:dyDescent="0.3">
      <c r="D5" s="15"/>
      <c r="E5" s="16" t="s">
        <v>274</v>
      </c>
      <c r="P5" s="14"/>
      <c r="S5" s="7"/>
    </row>
    <row r="6" spans="2:19" ht="40.5" customHeight="1" x14ac:dyDescent="0.3">
      <c r="D6" s="17" t="s">
        <v>132</v>
      </c>
      <c r="P6" s="14"/>
      <c r="S6" s="7"/>
    </row>
    <row r="7" spans="2:19" ht="40.5" customHeight="1" x14ac:dyDescent="0.3">
      <c r="D7" s="18" t="s">
        <v>171</v>
      </c>
      <c r="P7" s="14"/>
      <c r="S7" s="7"/>
    </row>
    <row r="8" spans="2:19" ht="151.5" customHeight="1" x14ac:dyDescent="0.3">
      <c r="D8" s="19" t="s">
        <v>105</v>
      </c>
      <c r="E8" s="20" t="s">
        <v>104</v>
      </c>
      <c r="F8" s="20" t="s">
        <v>13</v>
      </c>
      <c r="G8" s="20" t="s">
        <v>14</v>
      </c>
      <c r="H8" s="20" t="s">
        <v>15</v>
      </c>
      <c r="I8" s="20" t="s">
        <v>16</v>
      </c>
      <c r="J8" s="20" t="s">
        <v>106</v>
      </c>
      <c r="K8" s="20" t="s">
        <v>18</v>
      </c>
      <c r="L8" s="20" t="s">
        <v>134</v>
      </c>
      <c r="M8" s="20" t="s">
        <v>133</v>
      </c>
      <c r="P8" s="14"/>
      <c r="S8" s="7"/>
    </row>
    <row r="9" spans="2:19" ht="50.25" customHeight="1" x14ac:dyDescent="0.3">
      <c r="B9" s="21" t="str">
        <f>CONCATENATE($E$5,"1")</f>
        <v>SO-03/C1</v>
      </c>
      <c r="C9" s="21"/>
      <c r="D9" s="269" t="str">
        <f>VLOOKUP($B9,_postazioni5,3,FALSE)</f>
        <v>SO-03/C1</v>
      </c>
      <c r="E9" s="22" t="str">
        <f>VLOOKUP($B$30,_postazioni5,8,FALSE)</f>
        <v>N 46° 16' 13.51"  E 09° 51' 25.16"</v>
      </c>
      <c r="F9" s="278" t="str">
        <f>VLOOKUP($B$30,_postazioni5,15,FALSE)</f>
        <v>2 u.</v>
      </c>
      <c r="G9" s="278">
        <f>VLOOKUP($B$30,_postazioni5,16,FALSE)</f>
        <v>12</v>
      </c>
      <c r="H9" s="278">
        <f>VLOOKUP($B$30,_postazioni5,17,FALSE)</f>
        <v>12</v>
      </c>
      <c r="I9" s="278">
        <f>VLOOKUP($B$30,_postazioni5,18,FALSE)</f>
        <v>7</v>
      </c>
      <c r="J9" s="280" t="str">
        <f>VLOOKUP($B$30,_postazioni5,19,FALSE)</f>
        <v>//</v>
      </c>
      <c r="K9" s="278">
        <f>VLOOKUP($B$30,_postazioni5,20,FALSE)</f>
        <v>10.25</v>
      </c>
      <c r="L9" s="277">
        <f>VLOOKUP($B$30,_postazioni5,23,FALSE)</f>
        <v>480</v>
      </c>
      <c r="M9" s="276">
        <f>VLOOKUP($B$30,_postazioni5,24,FALSE)</f>
        <v>16525</v>
      </c>
      <c r="P9" s="14"/>
      <c r="S9" s="7"/>
    </row>
    <row r="10" spans="2:19" ht="50.25" customHeight="1" x14ac:dyDescent="0.3">
      <c r="B10" s="21"/>
      <c r="C10" s="21"/>
      <c r="D10" s="270"/>
      <c r="E10" s="22" t="str">
        <f>VLOOKUP($B$30,_postazioni5,9,FALSE)</f>
        <v>(rotatoria in Località Vassalini)</v>
      </c>
      <c r="F10" s="279"/>
      <c r="G10" s="279"/>
      <c r="H10" s="279"/>
      <c r="I10" s="279"/>
      <c r="J10" s="281"/>
      <c r="K10" s="279"/>
      <c r="L10" s="277"/>
      <c r="M10" s="276"/>
      <c r="P10" s="14"/>
      <c r="S10" s="7"/>
    </row>
    <row r="11" spans="2:19" x14ac:dyDescent="0.3">
      <c r="B11" s="21" t="str">
        <f>CONCATENATE($E$5,"2")</f>
        <v>SO-03/C2</v>
      </c>
      <c r="C11" s="21"/>
      <c r="D11" s="269">
        <f>VLOOKUP($B11,_postazioni5,3,FALSE)</f>
        <v>0</v>
      </c>
      <c r="E11" s="22">
        <f>VLOOKUP($B$33,_postazioni5,8,FALSE)</f>
        <v>0</v>
      </c>
      <c r="F11" s="278">
        <f>VLOOKUP($B$33,_postazioni5,15,FALSE)</f>
        <v>0</v>
      </c>
      <c r="G11" s="278">
        <f>VLOOKUP($B$33,_postazioni5,16,FALSE)</f>
        <v>0</v>
      </c>
      <c r="H11" s="278">
        <f>VLOOKUP($B$33,_postazioni5,17,FALSE)</f>
        <v>0</v>
      </c>
      <c r="I11" s="278">
        <f>VLOOKUP($B$33,_postazioni5,18,FALSE)</f>
        <v>0</v>
      </c>
      <c r="J11" s="280">
        <f>VLOOKUP($B$33,_postazioni5,19,FALSE)</f>
        <v>0</v>
      </c>
      <c r="K11" s="278">
        <f>VLOOKUP($B$33,_postazioni5,20,FALSE)</f>
        <v>0</v>
      </c>
      <c r="L11" s="277">
        <f>VLOOKUP($B$33,_postazioni5,23,FALSE)</f>
        <v>0</v>
      </c>
      <c r="M11" s="276">
        <f>VLOOKUP($B$33,_postazioni5,24,FALSE)</f>
        <v>0</v>
      </c>
      <c r="P11" s="14"/>
      <c r="S11" s="7"/>
    </row>
    <row r="12" spans="2:19" x14ac:dyDescent="0.3">
      <c r="B12" s="21"/>
      <c r="C12" s="21"/>
      <c r="D12" s="270"/>
      <c r="E12" s="22">
        <f>VLOOKUP($B$33,_postazioni5,9,FALSE)</f>
        <v>0</v>
      </c>
      <c r="F12" s="279"/>
      <c r="G12" s="279"/>
      <c r="H12" s="279"/>
      <c r="I12" s="279"/>
      <c r="J12" s="281"/>
      <c r="K12" s="279"/>
      <c r="L12" s="277"/>
      <c r="M12" s="276"/>
      <c r="P12" s="14"/>
      <c r="S12" s="7"/>
    </row>
    <row r="13" spans="2:19" x14ac:dyDescent="0.3">
      <c r="B13" s="21" t="str">
        <f>CONCATENATE($E$5,"3")</f>
        <v>SO-03/C3</v>
      </c>
      <c r="C13" s="21"/>
      <c r="D13" s="269">
        <f>VLOOKUP($B13,_postazioni5,3,FALSE)</f>
        <v>0</v>
      </c>
      <c r="E13" s="22">
        <f>VLOOKUP($B$35,_postazioni5,8,FALSE)</f>
        <v>0</v>
      </c>
      <c r="F13" s="278">
        <f>VLOOKUP($B$35,_postazioni5,15,FALSE)</f>
        <v>0</v>
      </c>
      <c r="G13" s="278">
        <f>VLOOKUP($B$35,_postazioni5,16,FALSE)</f>
        <v>0</v>
      </c>
      <c r="H13" s="278">
        <f>VLOOKUP($B$35,_postazioni5,17,FALSE)</f>
        <v>0</v>
      </c>
      <c r="I13" s="278">
        <f>VLOOKUP($B$35,_postazioni5,18,FALSE)</f>
        <v>0</v>
      </c>
      <c r="J13" s="280">
        <f>VLOOKUP($B$35,_postazioni5,19,FALSE)</f>
        <v>0</v>
      </c>
      <c r="K13" s="278">
        <f>VLOOKUP($B$35,_postazioni5,20,FALSE)</f>
        <v>0</v>
      </c>
      <c r="L13" s="277">
        <f>VLOOKUP($B$35,_postazioni5,23,FALSE)</f>
        <v>0</v>
      </c>
      <c r="M13" s="276">
        <f>VLOOKUP($B$35,_postazioni5,24,FALSE)</f>
        <v>0</v>
      </c>
      <c r="P13" s="14"/>
      <c r="S13" s="7"/>
    </row>
    <row r="14" spans="2:19" x14ac:dyDescent="0.3">
      <c r="B14" s="21"/>
      <c r="C14" s="21"/>
      <c r="D14" s="270"/>
      <c r="E14" s="22">
        <f>VLOOKUP($B$35,_postazioni5,9,FALSE)</f>
        <v>0</v>
      </c>
      <c r="F14" s="279"/>
      <c r="G14" s="279"/>
      <c r="H14" s="279"/>
      <c r="I14" s="279"/>
      <c r="J14" s="281"/>
      <c r="K14" s="279"/>
      <c r="L14" s="277"/>
      <c r="M14" s="276"/>
      <c r="P14" s="14"/>
      <c r="S14" s="7"/>
    </row>
    <row r="15" spans="2:19" x14ac:dyDescent="0.3">
      <c r="B15" s="21" t="str">
        <f>CONCATENATE($E$5,"4")</f>
        <v>SO-03/C4</v>
      </c>
      <c r="C15" s="21"/>
      <c r="D15" s="269">
        <f>VLOOKUP($B15,_postazioni5,3,FALSE)</f>
        <v>0</v>
      </c>
      <c r="E15" s="22">
        <f>VLOOKUP($B$37,_postazioni5,8,FALSE)</f>
        <v>0</v>
      </c>
      <c r="F15" s="278">
        <f>VLOOKUP($B$37,_postazioni5,15,FALSE)</f>
        <v>0</v>
      </c>
      <c r="G15" s="278">
        <f>VLOOKUP($B$37,_postazioni5,16,FALSE)</f>
        <v>0</v>
      </c>
      <c r="H15" s="278">
        <f>VLOOKUP($B$37,_postazioni5,17,FALSE)</f>
        <v>0</v>
      </c>
      <c r="I15" s="278">
        <f>VLOOKUP($B$37,_postazioni5,18,FALSE)</f>
        <v>0</v>
      </c>
      <c r="J15" s="280">
        <f>VLOOKUP($B$37,_postazioni5,19,FALSE)</f>
        <v>0</v>
      </c>
      <c r="K15" s="278">
        <f>VLOOKUP($B$37,_postazioni5,20,FALSE)</f>
        <v>0</v>
      </c>
      <c r="L15" s="277">
        <f>VLOOKUP($B$37,_postazioni5,23,FALSE)</f>
        <v>0</v>
      </c>
      <c r="M15" s="276">
        <f>VLOOKUP($B$37,_postazioni5,24,FALSE)</f>
        <v>0</v>
      </c>
      <c r="P15" s="14"/>
      <c r="S15" s="7"/>
    </row>
    <row r="16" spans="2:19" x14ac:dyDescent="0.3">
      <c r="B16" s="21"/>
      <c r="C16" s="21"/>
      <c r="D16" s="270"/>
      <c r="E16" s="22">
        <f>VLOOKUP($B$37,_postazioni5,9,FALSE)</f>
        <v>0</v>
      </c>
      <c r="F16" s="279"/>
      <c r="G16" s="279"/>
      <c r="H16" s="279"/>
      <c r="I16" s="279"/>
      <c r="J16" s="281"/>
      <c r="K16" s="279"/>
      <c r="L16" s="277"/>
      <c r="M16" s="276"/>
      <c r="P16" s="14"/>
      <c r="S16" s="7"/>
    </row>
    <row r="17" spans="2:19" x14ac:dyDescent="0.3">
      <c r="B17" s="21" t="str">
        <f>CONCATENATE($E$5,"5")</f>
        <v>SO-03/C5</v>
      </c>
      <c r="C17" s="21"/>
      <c r="D17" s="269">
        <f>VLOOKUP($B17,_postazioni5,3,FALSE)</f>
        <v>0</v>
      </c>
      <c r="E17" s="22">
        <f>VLOOKUP($B$39,_postazioni5,8,FALSE)</f>
        <v>0</v>
      </c>
      <c r="F17" s="278">
        <f>VLOOKUP($B$39,_postazioni5,15,FALSE)</f>
        <v>0</v>
      </c>
      <c r="G17" s="278">
        <f>VLOOKUP($B$39,_postazioni5,16,FALSE)</f>
        <v>0</v>
      </c>
      <c r="H17" s="278">
        <f>VLOOKUP($B$39,_postazioni5,17,FALSE)</f>
        <v>0</v>
      </c>
      <c r="I17" s="278">
        <f>VLOOKUP($B$39,_postazioni5,18,FALSE)</f>
        <v>0</v>
      </c>
      <c r="J17" s="280">
        <f>VLOOKUP($B$39,_postazioni5,19,FALSE)</f>
        <v>0</v>
      </c>
      <c r="K17" s="278">
        <f>VLOOKUP($B$39,_postazioni5,20,FALSE)</f>
        <v>0</v>
      </c>
      <c r="L17" s="277">
        <f>VLOOKUP($B$39,_postazioni5,23,FALSE)</f>
        <v>0</v>
      </c>
      <c r="M17" s="276">
        <f>VLOOKUP($B$39,_postazioni5,24,FALSE)</f>
        <v>0</v>
      </c>
      <c r="P17" s="14"/>
      <c r="S17" s="7"/>
    </row>
    <row r="18" spans="2:19" x14ac:dyDescent="0.3">
      <c r="B18" s="21"/>
      <c r="C18" s="21"/>
      <c r="D18" s="270"/>
      <c r="E18" s="22">
        <f>VLOOKUP($B$39,_postazioni5,9,FALSE)</f>
        <v>0</v>
      </c>
      <c r="F18" s="279"/>
      <c r="G18" s="279"/>
      <c r="H18" s="279"/>
      <c r="I18" s="279"/>
      <c r="J18" s="281"/>
      <c r="K18" s="279"/>
      <c r="L18" s="277"/>
      <c r="M18" s="276"/>
      <c r="P18" s="14"/>
      <c r="S18" s="7"/>
    </row>
    <row r="19" spans="2:19" x14ac:dyDescent="0.3">
      <c r="B19" s="21" t="str">
        <f>CONCATENATE($E$5,"6")</f>
        <v>SO-03/C6</v>
      </c>
      <c r="C19" s="21"/>
      <c r="D19" s="269">
        <f>VLOOKUP($B19,_postazioni5,3,FALSE)</f>
        <v>0</v>
      </c>
      <c r="E19" s="22">
        <f>VLOOKUP($B$41,_postazioni5,8,FALSE)</f>
        <v>0</v>
      </c>
      <c r="F19" s="278">
        <f>VLOOKUP($B$41,_postazioni5,15,FALSE)</f>
        <v>0</v>
      </c>
      <c r="G19" s="278">
        <f>VLOOKUP($B$41,_postazioni5,16,FALSE)</f>
        <v>0</v>
      </c>
      <c r="H19" s="278">
        <f>VLOOKUP($B$41,_postazioni5,17,FALSE)</f>
        <v>0</v>
      </c>
      <c r="I19" s="278">
        <f>VLOOKUP($B$41,_postazioni5,18,FALSE)</f>
        <v>0</v>
      </c>
      <c r="J19" s="280">
        <f>VLOOKUP($B$41,_postazioni5,19,FALSE)</f>
        <v>0</v>
      </c>
      <c r="K19" s="278">
        <f>VLOOKUP($B$41,_postazioni5,20,FALSE)</f>
        <v>0</v>
      </c>
      <c r="L19" s="277">
        <f>VLOOKUP($B$41,_postazioni5,23,FALSE)</f>
        <v>0</v>
      </c>
      <c r="M19" s="276">
        <f>VLOOKUP($B$41,_postazioni5,24,FALSE)</f>
        <v>0</v>
      </c>
      <c r="P19" s="14"/>
      <c r="S19" s="7"/>
    </row>
    <row r="20" spans="2:19" x14ac:dyDescent="0.3">
      <c r="B20" s="21"/>
      <c r="C20" s="21"/>
      <c r="D20" s="270"/>
      <c r="E20" s="22">
        <f>VLOOKUP($B$41,_postazioni5,9,FALSE)</f>
        <v>0</v>
      </c>
      <c r="F20" s="279"/>
      <c r="G20" s="279"/>
      <c r="H20" s="279"/>
      <c r="I20" s="279"/>
      <c r="J20" s="281"/>
      <c r="K20" s="279"/>
      <c r="L20" s="277"/>
      <c r="M20" s="276"/>
      <c r="P20" s="14"/>
      <c r="S20" s="7"/>
    </row>
    <row r="21" spans="2:19" x14ac:dyDescent="0.3">
      <c r="B21" s="21"/>
      <c r="C21" s="21"/>
      <c r="D21" s="4" t="s">
        <v>172</v>
      </c>
      <c r="E21" s="23"/>
      <c r="F21" s="23"/>
      <c r="G21" s="23"/>
      <c r="H21" s="23"/>
      <c r="I21" s="23"/>
      <c r="J21" s="24"/>
      <c r="K21" s="23"/>
      <c r="L21" s="25"/>
      <c r="M21" s="25"/>
      <c r="P21" s="14"/>
      <c r="S21" s="7"/>
    </row>
    <row r="22" spans="2:19" ht="21.75" customHeight="1" thickBot="1" x14ac:dyDescent="0.35"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8"/>
      <c r="S22" s="7"/>
    </row>
    <row r="23" spans="2:19" x14ac:dyDescent="0.3">
      <c r="D23" s="10" t="s">
        <v>112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11"/>
      <c r="P23" s="12"/>
      <c r="R23" s="8"/>
      <c r="S23" s="7"/>
    </row>
    <row r="24" spans="2:19" x14ac:dyDescent="0.3">
      <c r="D24" s="29" t="s">
        <v>135</v>
      </c>
      <c r="E24" s="3"/>
      <c r="F24" s="3"/>
      <c r="G24" s="3"/>
      <c r="H24" s="3"/>
      <c r="I24" s="3"/>
      <c r="J24" s="3"/>
      <c r="K24" s="3"/>
      <c r="L24" s="3"/>
      <c r="M24" s="3"/>
      <c r="N24" s="3"/>
      <c r="P24" s="14"/>
      <c r="R24" s="8"/>
      <c r="S24" s="7"/>
    </row>
    <row r="25" spans="2:19" x14ac:dyDescent="0.3">
      <c r="D25" s="29" t="s">
        <v>136</v>
      </c>
      <c r="E25" s="3"/>
      <c r="F25" s="3"/>
      <c r="G25" s="3"/>
      <c r="H25" s="3"/>
      <c r="I25" s="3"/>
      <c r="J25" s="3"/>
      <c r="K25" s="3"/>
      <c r="L25" s="3"/>
      <c r="M25" s="3"/>
      <c r="N25" s="3"/>
      <c r="P25" s="14"/>
      <c r="R25" s="8"/>
      <c r="S25" s="7"/>
    </row>
    <row r="26" spans="2:19" x14ac:dyDescent="0.3">
      <c r="D26" s="29" t="s">
        <v>137</v>
      </c>
      <c r="E26" s="3"/>
      <c r="F26" s="3"/>
      <c r="G26" s="3"/>
      <c r="H26" s="3"/>
      <c r="I26" s="3"/>
      <c r="J26" s="3"/>
      <c r="K26" s="3"/>
      <c r="L26" s="3"/>
      <c r="M26" s="3"/>
      <c r="N26" s="3"/>
      <c r="P26" s="14"/>
      <c r="R26" s="8"/>
      <c r="S26" s="7"/>
    </row>
    <row r="27" spans="2:19" ht="40.5" customHeight="1" x14ac:dyDescent="0.3">
      <c r="D27" s="18" t="s">
        <v>111</v>
      </c>
      <c r="P27" s="14"/>
      <c r="S27" s="7"/>
    </row>
    <row r="28" spans="2:19" ht="151.5" customHeight="1" x14ac:dyDescent="0.3">
      <c r="D28" s="19" t="s">
        <v>105</v>
      </c>
      <c r="E28" s="30" t="s">
        <v>103</v>
      </c>
      <c r="F28" s="20" t="s">
        <v>107</v>
      </c>
      <c r="G28" s="20" t="s">
        <v>108</v>
      </c>
      <c r="H28" s="20" t="s">
        <v>109</v>
      </c>
      <c r="I28" s="20" t="s">
        <v>110</v>
      </c>
      <c r="J28" s="20" t="s">
        <v>37</v>
      </c>
      <c r="P28" s="14"/>
      <c r="S28" s="7"/>
    </row>
    <row r="29" spans="2:19" ht="31.5" customHeight="1" x14ac:dyDescent="0.3">
      <c r="D29" s="269" t="str">
        <f>VLOOKUP($B30,_postazioni5,3,FALSE)</f>
        <v>SO-03/C1</v>
      </c>
      <c r="E29" s="31" t="s">
        <v>113</v>
      </c>
      <c r="F29" s="32"/>
      <c r="G29" s="32"/>
      <c r="H29" s="32"/>
      <c r="I29" s="32"/>
      <c r="J29" s="33"/>
      <c r="P29" s="14"/>
      <c r="S29" s="7"/>
    </row>
    <row r="30" spans="2:19" ht="78.75" customHeight="1" x14ac:dyDescent="0.3">
      <c r="B30" s="21" t="str">
        <f>CONCATENATE($E$5,"1")</f>
        <v>SO-03/C1</v>
      </c>
      <c r="C30" s="21"/>
      <c r="D30" s="296"/>
      <c r="E30" s="34"/>
      <c r="F30" s="299">
        <f>VLOOKUP($B$30,_postazioni5,30,FALSE)</f>
        <v>14965</v>
      </c>
      <c r="G30" s="35"/>
      <c r="H30" s="297">
        <f>F30-G30-G32</f>
        <v>14965</v>
      </c>
      <c r="I30" s="36">
        <f>G30/F30</f>
        <v>0</v>
      </c>
      <c r="J30" s="282" t="str">
        <f>IF(OR(AND(E32="",G32&gt;0),AND(E32&lt;&gt;"",G32=""),E30="",G30=0,G30&lt;0,G32&lt;0,(G30+G32)&gt;F30),"ERRORE","OK")</f>
        <v>ERRORE</v>
      </c>
      <c r="P30" s="14"/>
      <c r="S30" s="7"/>
    </row>
    <row r="31" spans="2:19" ht="41.25" customHeight="1" x14ac:dyDescent="0.3">
      <c r="B31" s="21"/>
      <c r="C31" s="21"/>
      <c r="D31" s="296"/>
      <c r="E31" s="37" t="s">
        <v>173</v>
      </c>
      <c r="F31" s="300"/>
      <c r="G31" s="38"/>
      <c r="H31" s="283"/>
      <c r="I31" s="39"/>
      <c r="J31" s="283"/>
      <c r="P31" s="14"/>
      <c r="S31" s="7"/>
    </row>
    <row r="32" spans="2:19" ht="77.25" customHeight="1" x14ac:dyDescent="0.3">
      <c r="B32" s="21"/>
      <c r="C32" s="21"/>
      <c r="D32" s="270"/>
      <c r="E32" s="242"/>
      <c r="F32" s="301"/>
      <c r="G32" s="35"/>
      <c r="H32" s="284"/>
      <c r="I32" s="40">
        <f>G32/F30</f>
        <v>0</v>
      </c>
      <c r="J32" s="284"/>
      <c r="P32" s="14"/>
      <c r="S32" s="7"/>
    </row>
    <row r="33" spans="1:19" x14ac:dyDescent="0.3">
      <c r="A33" s="278" t="str">
        <f>VLOOKUP($B33,_postazioni5,26,FALSE)</f>
        <v>u</v>
      </c>
      <c r="B33" s="21" t="str">
        <f>CONCATENATE($E$5,"2")</f>
        <v>SO-03/C2</v>
      </c>
      <c r="C33" s="21"/>
      <c r="D33" s="269">
        <f>VLOOKUP($B33,_postazioni5,3,FALSE)</f>
        <v>0</v>
      </c>
      <c r="E33" s="302"/>
      <c r="F33" s="275" t="str">
        <f>IF(D33=0,"//////",TRUNC(VLOOKUP($B$33,_postazioni5,30,FALSE)))</f>
        <v>//////</v>
      </c>
      <c r="G33" s="274"/>
      <c r="H33" s="297" t="str">
        <f>IF(F33="//////","//////",F33-G33)</f>
        <v>//////</v>
      </c>
      <c r="I33" s="282" t="str">
        <f>IF(F33="//////","//////",G33/F33)</f>
        <v>//////</v>
      </c>
      <c r="J33" s="282" t="str">
        <f>IF(A33="U",IF(F33="//////","//////",IF(OR(E33="",G33="",G33&lt;0,G33&gt;F33),"ERRORE","OK")),IF(F33="//////","//////",IF(OR(G33="",G33&lt;0,G33&gt;F33),"ERRORE","OK")))</f>
        <v>//////</v>
      </c>
      <c r="P33" s="14"/>
      <c r="S33" s="7"/>
    </row>
    <row r="34" spans="1:19" x14ac:dyDescent="0.3">
      <c r="A34" s="303"/>
      <c r="B34" s="21"/>
      <c r="C34" s="21"/>
      <c r="D34" s="270"/>
      <c r="E34" s="302"/>
      <c r="F34" s="275"/>
      <c r="G34" s="274"/>
      <c r="H34" s="298"/>
      <c r="I34" s="291"/>
      <c r="J34" s="291"/>
      <c r="P34" s="14"/>
      <c r="S34" s="7"/>
    </row>
    <row r="35" spans="1:19" x14ac:dyDescent="0.3">
      <c r="A35" s="278" t="s">
        <v>125</v>
      </c>
      <c r="B35" s="21" t="str">
        <f>CONCATENATE($E$5,"3")</f>
        <v>SO-03/C3</v>
      </c>
      <c r="C35" s="21"/>
      <c r="D35" s="269">
        <f>VLOOKUP($B35,_postazioni5,3,FALSE)</f>
        <v>0</v>
      </c>
      <c r="E35" s="268"/>
      <c r="F35" s="275" t="str">
        <f>IF(D35=0,"//////",TRUNC(VLOOKUP($B$35,_postazioni5,30,FALSE)))</f>
        <v>//////</v>
      </c>
      <c r="G35" s="274"/>
      <c r="H35" s="297" t="str">
        <f>IF(F35="//////","//////",F35-G35)</f>
        <v>//////</v>
      </c>
      <c r="I35" s="282" t="str">
        <f t="shared" ref="I35" si="0">IF(F35="//////","//////",G35/F35)</f>
        <v>//////</v>
      </c>
      <c r="J35" s="282" t="str">
        <f t="shared" ref="J35" si="1">IF(A35="U",IF(F35="//////","//////",IF(OR(E35="",G35="",G35&lt;0,G35&gt;F35),"ERRORE","OK")),IF(F35="//////","//////",IF(OR(G35="",G35&lt;0,G35&gt;F35),"ERRORE","OK")))</f>
        <v>//////</v>
      </c>
      <c r="P35" s="14"/>
      <c r="S35" s="7"/>
    </row>
    <row r="36" spans="1:19" x14ac:dyDescent="0.3">
      <c r="A36" s="303"/>
      <c r="B36" s="21"/>
      <c r="C36" s="21"/>
      <c r="D36" s="270"/>
      <c r="E36" s="268"/>
      <c r="F36" s="275"/>
      <c r="G36" s="274"/>
      <c r="H36" s="298"/>
      <c r="I36" s="291"/>
      <c r="J36" s="291"/>
      <c r="P36" s="14"/>
      <c r="S36" s="7"/>
    </row>
    <row r="37" spans="1:19" x14ac:dyDescent="0.3">
      <c r="A37" s="278" t="str">
        <f>VLOOKUP($B37,_postazioni5,26,FALSE)</f>
        <v>u</v>
      </c>
      <c r="B37" s="21" t="str">
        <f>CONCATENATE($E$5,"4")</f>
        <v>SO-03/C4</v>
      </c>
      <c r="C37" s="21"/>
      <c r="D37" s="269">
        <f>VLOOKUP($B37,_postazioni5,3,FALSE)</f>
        <v>0</v>
      </c>
      <c r="E37" s="268"/>
      <c r="F37" s="275" t="str">
        <f>IF(D37=0,"//////",TRUNC(VLOOKUP($B$37,_postazioni5,30,FALSE)))</f>
        <v>//////</v>
      </c>
      <c r="G37" s="274"/>
      <c r="H37" s="297" t="str">
        <f>IF(F37="//////","//////",F37-G37)</f>
        <v>//////</v>
      </c>
      <c r="I37" s="282" t="str">
        <f t="shared" ref="I37" si="2">IF(F37="//////","//////",G37/F37)</f>
        <v>//////</v>
      </c>
      <c r="J37" s="282" t="str">
        <f t="shared" ref="J37" si="3">IF(A37="U",IF(F37="//////","//////",IF(OR(E37="",G37="",G37&lt;0,G37&gt;F37),"ERRORE","OK")),IF(F37="//////","//////",IF(OR(G37="",G37&lt;0,G37&gt;F37),"ERRORE","OK")))</f>
        <v>//////</v>
      </c>
      <c r="P37" s="14"/>
      <c r="S37" s="7"/>
    </row>
    <row r="38" spans="1:19" x14ac:dyDescent="0.3">
      <c r="A38" s="303"/>
      <c r="B38" s="21"/>
      <c r="C38" s="21"/>
      <c r="D38" s="270"/>
      <c r="E38" s="268"/>
      <c r="F38" s="275"/>
      <c r="G38" s="274"/>
      <c r="H38" s="298"/>
      <c r="I38" s="291"/>
      <c r="J38" s="291"/>
      <c r="P38" s="14"/>
      <c r="S38" s="7"/>
    </row>
    <row r="39" spans="1:19" x14ac:dyDescent="0.3">
      <c r="A39" s="278" t="str">
        <f>VLOOKUP($B39,_postazioni5,26,FALSE)</f>
        <v>u</v>
      </c>
      <c r="B39" s="21" t="str">
        <f>CONCATENATE($E$5,"5")</f>
        <v>SO-03/C5</v>
      </c>
      <c r="C39" s="21"/>
      <c r="D39" s="269">
        <f>VLOOKUP($B39,_postazioni5,3,FALSE)</f>
        <v>0</v>
      </c>
      <c r="E39" s="268"/>
      <c r="F39" s="275" t="str">
        <f>IF(D39=0,"//////",TRUNC(VLOOKUP($B$39,_postazioni5,30,FALSE)))</f>
        <v>//////</v>
      </c>
      <c r="G39" s="274"/>
      <c r="H39" s="297" t="str">
        <f>IF(F39="//////","//////",F39-G39)</f>
        <v>//////</v>
      </c>
      <c r="I39" s="282" t="str">
        <f t="shared" ref="I39" si="4">IF(F39="//////","//////",G39/F39)</f>
        <v>//////</v>
      </c>
      <c r="J39" s="282" t="str">
        <f t="shared" ref="J39" si="5">IF(A39="U",IF(F39="//////","//////",IF(OR(E39="",G39="",G39&lt;0,G39&gt;F39),"ERRORE","OK")),IF(F39="//////","//////",IF(OR(G39="",G39&lt;0,G39&gt;F39),"ERRORE","OK")))</f>
        <v>//////</v>
      </c>
      <c r="P39" s="14"/>
      <c r="S39" s="7"/>
    </row>
    <row r="40" spans="1:19" x14ac:dyDescent="0.3">
      <c r="A40" s="303"/>
      <c r="B40" s="21"/>
      <c r="C40" s="21"/>
      <c r="D40" s="270"/>
      <c r="E40" s="268"/>
      <c r="F40" s="275"/>
      <c r="G40" s="274"/>
      <c r="H40" s="298"/>
      <c r="I40" s="291"/>
      <c r="J40" s="291"/>
      <c r="P40" s="14"/>
      <c r="S40" s="7"/>
    </row>
    <row r="41" spans="1:19" x14ac:dyDescent="0.3">
      <c r="A41" s="278" t="str">
        <f>VLOOKUP($B41,_postazioni5,26,FALSE)</f>
        <v>u</v>
      </c>
      <c r="B41" s="21" t="str">
        <f>CONCATENATE($E$5,"6")</f>
        <v>SO-03/C6</v>
      </c>
      <c r="C41" s="21"/>
      <c r="D41" s="269">
        <f>VLOOKUP($B41,_postazioni5,3,FALSE)</f>
        <v>0</v>
      </c>
      <c r="E41" s="268"/>
      <c r="F41" s="275" t="str">
        <f>IF(D41=0,"//////",VLOOKUP($B$41,_postazioni5,30,FALSE))</f>
        <v>//////</v>
      </c>
      <c r="G41" s="274"/>
      <c r="H41" s="297" t="str">
        <f>IF(F41="//////","//////",F41-G41)</f>
        <v>//////</v>
      </c>
      <c r="I41" s="297" t="str">
        <f t="shared" ref="I41" si="6">IF(F41="//////","//////",G41/F41)</f>
        <v>//////</v>
      </c>
      <c r="J41" s="282" t="str">
        <f t="shared" ref="J41" si="7">IF(A41="U",IF(F41="//////","//////",IF(OR(E41="",G41="",G41&lt;0,G41&gt;F41),"ERRORE","OK")),IF(F41="//////","//////",IF(OR(G41="",G41&lt;0,G41&gt;F41),"ERRORE","OK")))</f>
        <v>//////</v>
      </c>
      <c r="P41" s="14"/>
      <c r="S41" s="7"/>
    </row>
    <row r="42" spans="1:19" x14ac:dyDescent="0.3">
      <c r="A42" s="303"/>
      <c r="B42" s="21"/>
      <c r="C42" s="21"/>
      <c r="D42" s="270"/>
      <c r="E42" s="268"/>
      <c r="F42" s="275"/>
      <c r="G42" s="274"/>
      <c r="H42" s="298"/>
      <c r="I42" s="298"/>
      <c r="J42" s="291"/>
      <c r="P42" s="14"/>
      <c r="S42" s="7"/>
    </row>
    <row r="43" spans="1:19" ht="23.25" customHeight="1" thickBot="1" x14ac:dyDescent="0.35">
      <c r="D43" s="26"/>
      <c r="E43" s="27"/>
      <c r="F43" s="41"/>
      <c r="G43" s="27"/>
      <c r="H43" s="27"/>
      <c r="I43" s="27"/>
      <c r="J43" s="27"/>
      <c r="K43" s="27"/>
      <c r="L43" s="27"/>
      <c r="M43" s="27"/>
      <c r="N43" s="27"/>
      <c r="O43" s="27"/>
      <c r="P43" s="28"/>
      <c r="S43" s="7"/>
    </row>
    <row r="44" spans="1:19" x14ac:dyDescent="0.3">
      <c r="D44" s="10" t="s">
        <v>114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11"/>
      <c r="P44" s="12"/>
      <c r="R44" s="8"/>
      <c r="S44" s="7"/>
    </row>
    <row r="45" spans="1:19" x14ac:dyDescent="0.3">
      <c r="D45" s="29" t="s">
        <v>138</v>
      </c>
      <c r="E45" s="3"/>
      <c r="F45" s="3"/>
      <c r="G45" s="3"/>
      <c r="H45" s="3"/>
      <c r="I45" s="3"/>
      <c r="J45" s="3"/>
      <c r="K45" s="3"/>
      <c r="L45" s="3"/>
      <c r="M45" s="3"/>
      <c r="N45" s="3"/>
      <c r="P45" s="14"/>
      <c r="R45" s="8"/>
      <c r="S45" s="7"/>
    </row>
    <row r="46" spans="1:19" x14ac:dyDescent="0.3">
      <c r="D46" s="29" t="s">
        <v>139</v>
      </c>
      <c r="E46" s="3"/>
      <c r="F46" s="3"/>
      <c r="G46" s="3"/>
      <c r="H46" s="3"/>
      <c r="I46" s="3"/>
      <c r="J46" s="3"/>
      <c r="K46" s="3"/>
      <c r="L46" s="3"/>
      <c r="M46" s="3"/>
      <c r="N46" s="3"/>
      <c r="P46" s="14"/>
      <c r="R46" s="8"/>
      <c r="S46" s="7"/>
    </row>
    <row r="47" spans="1:19" x14ac:dyDescent="0.3">
      <c r="D47" s="29" t="s">
        <v>140</v>
      </c>
      <c r="E47" s="3"/>
      <c r="F47" s="3"/>
      <c r="G47" s="3"/>
      <c r="H47" s="3"/>
      <c r="I47" s="3"/>
      <c r="J47" s="3"/>
      <c r="K47" s="3"/>
      <c r="L47" s="3"/>
      <c r="M47" s="3"/>
      <c r="N47" s="3"/>
      <c r="P47" s="14"/>
      <c r="R47" s="8"/>
      <c r="S47" s="7"/>
    </row>
    <row r="48" spans="1:19" x14ac:dyDescent="0.3">
      <c r="D48" s="29" t="s">
        <v>141</v>
      </c>
      <c r="E48" s="3"/>
      <c r="F48" s="3"/>
      <c r="G48" s="3"/>
      <c r="H48" s="3"/>
      <c r="I48" s="3"/>
      <c r="J48" s="3"/>
      <c r="K48" s="3"/>
      <c r="L48" s="3"/>
      <c r="M48" s="3"/>
      <c r="N48" s="3"/>
      <c r="P48" s="14"/>
      <c r="R48" s="8"/>
      <c r="S48" s="7"/>
    </row>
    <row r="49" spans="2:19" x14ac:dyDescent="0.3">
      <c r="D49" s="13" t="s">
        <v>176</v>
      </c>
      <c r="E49" s="3"/>
      <c r="F49" s="3"/>
      <c r="G49" s="3"/>
      <c r="H49" s="3"/>
      <c r="I49" s="3"/>
      <c r="J49" s="3"/>
      <c r="K49" s="3"/>
      <c r="L49" s="3"/>
      <c r="M49" s="3"/>
      <c r="N49" s="3"/>
      <c r="P49" s="14"/>
      <c r="R49" s="8"/>
      <c r="S49" s="7"/>
    </row>
    <row r="50" spans="2:19" x14ac:dyDescent="0.3">
      <c r="D50" s="29" t="s">
        <v>174</v>
      </c>
      <c r="E50" s="3"/>
      <c r="F50" s="3"/>
      <c r="G50" s="3"/>
      <c r="H50" s="3"/>
      <c r="I50" s="3"/>
      <c r="J50" s="3"/>
      <c r="K50" s="3"/>
      <c r="L50" s="3"/>
      <c r="M50" s="3"/>
      <c r="N50" s="3"/>
      <c r="P50" s="14"/>
      <c r="R50" s="8"/>
      <c r="S50" s="7"/>
    </row>
    <row r="51" spans="2:19" ht="40.5" customHeight="1" x14ac:dyDescent="0.3">
      <c r="D51" s="18" t="s">
        <v>115</v>
      </c>
      <c r="P51" s="14"/>
      <c r="S51" s="7"/>
    </row>
    <row r="52" spans="2:19" ht="151.5" customHeight="1" x14ac:dyDescent="0.3">
      <c r="D52" s="19" t="s">
        <v>105</v>
      </c>
      <c r="E52" s="30" t="s">
        <v>103</v>
      </c>
      <c r="F52" s="30" t="s">
        <v>80</v>
      </c>
      <c r="G52" s="305" t="s">
        <v>116</v>
      </c>
      <c r="H52" s="306"/>
      <c r="I52" s="30" t="s">
        <v>82</v>
      </c>
      <c r="J52" s="30" t="s">
        <v>118</v>
      </c>
      <c r="K52" s="30" t="s">
        <v>117</v>
      </c>
      <c r="L52" s="30" t="s">
        <v>83</v>
      </c>
      <c r="M52" s="30" t="s">
        <v>37</v>
      </c>
      <c r="P52" s="14"/>
      <c r="S52" s="7"/>
    </row>
    <row r="53" spans="2:19" ht="31.5" customHeight="1" x14ac:dyDescent="0.3">
      <c r="D53" s="269" t="str">
        <f>VLOOKUP($B54,_postazioni5,3,FALSE)</f>
        <v>SO-03/C1</v>
      </c>
      <c r="E53" s="31" t="s">
        <v>113</v>
      </c>
      <c r="F53" s="32"/>
      <c r="G53" s="32"/>
      <c r="H53" s="32"/>
      <c r="I53" s="32"/>
      <c r="J53" s="32"/>
      <c r="K53" s="32"/>
      <c r="L53" s="42"/>
      <c r="M53" s="33"/>
      <c r="P53" s="14"/>
      <c r="S53" s="7"/>
    </row>
    <row r="54" spans="2:19" ht="77.25" customHeight="1" x14ac:dyDescent="0.3">
      <c r="B54" s="21" t="str">
        <f>CONCATENATE($E$5,"1")</f>
        <v>SO-03/C1</v>
      </c>
      <c r="C54" s="21"/>
      <c r="D54" s="296"/>
      <c r="E54" s="37">
        <f>E30</f>
        <v>0</v>
      </c>
      <c r="F54" s="241"/>
      <c r="G54" s="289"/>
      <c r="H54" s="290"/>
      <c r="I54" s="43"/>
      <c r="J54" s="44">
        <f ca="1">(TODAY()-I54)/365</f>
        <v>123.88767123287671</v>
      </c>
      <c r="K54" s="44">
        <v>6</v>
      </c>
      <c r="L54" s="45">
        <v>230000</v>
      </c>
      <c r="M54" s="282" t="str">
        <f ca="1">IF(OR(G54&lt;0,G56&lt;0,J56&gt;K56,J54&gt;K54,(G56&gt;L56),(G54&gt;L54)),"ERRORE","OK")</f>
        <v>ERRORE</v>
      </c>
      <c r="P54" s="14"/>
      <c r="S54" s="7"/>
    </row>
    <row r="55" spans="2:19" ht="50.25" customHeight="1" x14ac:dyDescent="0.3">
      <c r="B55" s="21"/>
      <c r="C55" s="21"/>
      <c r="D55" s="296"/>
      <c r="E55" s="46" t="s">
        <v>173</v>
      </c>
      <c r="F55" s="47"/>
      <c r="G55" s="47"/>
      <c r="H55" s="47"/>
      <c r="I55" s="47"/>
      <c r="J55" s="47"/>
      <c r="K55" s="47"/>
      <c r="L55" s="48"/>
      <c r="M55" s="283"/>
      <c r="P55" s="14"/>
      <c r="S55" s="7"/>
    </row>
    <row r="56" spans="2:19" ht="77.25" customHeight="1" x14ac:dyDescent="0.3">
      <c r="B56" s="21"/>
      <c r="C56" s="21"/>
      <c r="D56" s="270"/>
      <c r="E56" s="49" t="str">
        <f>IF(E32=0,"//////",E32)</f>
        <v>//////</v>
      </c>
      <c r="F56" s="214"/>
      <c r="G56" s="292"/>
      <c r="H56" s="293"/>
      <c r="I56" s="50"/>
      <c r="J56" s="44">
        <f ca="1">IF(E56="//////",0,(TODAY()-I56)/365)</f>
        <v>0</v>
      </c>
      <c r="K56" s="44">
        <v>6</v>
      </c>
      <c r="L56" s="45">
        <v>230000</v>
      </c>
      <c r="M56" s="284"/>
      <c r="P56" s="14"/>
      <c r="S56" s="7"/>
    </row>
    <row r="57" spans="2:19" ht="23.25" customHeight="1" x14ac:dyDescent="0.3">
      <c r="B57" s="21" t="str">
        <f>CONCATENATE($E$5,"2")</f>
        <v>SO-03/C2</v>
      </c>
      <c r="C57" s="21"/>
      <c r="D57" s="269">
        <f>VLOOKUP($B57,_postazioni5,3,FALSE)</f>
        <v>0</v>
      </c>
      <c r="E57" s="307" t="str">
        <f>IF(D57=0,"//////",E33)</f>
        <v>//////</v>
      </c>
      <c r="F57" s="308"/>
      <c r="G57" s="334"/>
      <c r="H57" s="334"/>
      <c r="I57" s="311"/>
      <c r="J57" s="285" t="str">
        <f ca="1">IF(OR(A33="P",E57="//////"),"//////",(TODAY()-I57)/365)</f>
        <v>//////</v>
      </c>
      <c r="K57" s="285">
        <v>6</v>
      </c>
      <c r="L57" s="287">
        <v>230000</v>
      </c>
      <c r="M57" s="282" t="str">
        <f>IF(OR(A33="P",E57="//////"),"//////",IF(OR(G57&lt;0,J57&gt;K57,(G57&gt;L57)),"ERRORE","OK"))</f>
        <v>//////</v>
      </c>
      <c r="P57" s="14"/>
      <c r="S57" s="7"/>
    </row>
    <row r="58" spans="2:19" ht="23.25" customHeight="1" x14ac:dyDescent="0.3">
      <c r="B58" s="21"/>
      <c r="C58" s="21"/>
      <c r="D58" s="270"/>
      <c r="E58" s="307"/>
      <c r="F58" s="308"/>
      <c r="G58" s="334"/>
      <c r="H58" s="334"/>
      <c r="I58" s="311"/>
      <c r="J58" s="286"/>
      <c r="K58" s="286"/>
      <c r="L58" s="288"/>
      <c r="M58" s="291"/>
      <c r="P58" s="14"/>
      <c r="S58" s="7"/>
    </row>
    <row r="59" spans="2:19" ht="23.25" customHeight="1" x14ac:dyDescent="0.3">
      <c r="B59" s="21" t="str">
        <f>CONCATENATE($E$5,"3")</f>
        <v>SO-03/C3</v>
      </c>
      <c r="C59" s="21"/>
      <c r="D59" s="269">
        <f>VLOOKUP($B59,_postazioni5,3,FALSE)</f>
        <v>0</v>
      </c>
      <c r="E59" s="307" t="str">
        <f t="shared" ref="E59" si="8">IF(D59=0,"//////",E35)</f>
        <v>//////</v>
      </c>
      <c r="F59" s="309"/>
      <c r="G59" s="292"/>
      <c r="H59" s="293"/>
      <c r="I59" s="312"/>
      <c r="J59" s="285" t="str">
        <f t="shared" ref="J59" ca="1" si="9">IF(OR(A35="P",E59="//////"),"//////",(TODAY()-I59)/365)</f>
        <v>//////</v>
      </c>
      <c r="K59" s="285">
        <v>6</v>
      </c>
      <c r="L59" s="287">
        <v>230000</v>
      </c>
      <c r="M59" s="282" t="str">
        <f>IF(OR(A35="P",E59="//////"),"//////",IF(OR(G59&lt;0,J59&gt;K59,(G59&gt;L59)),"ERRORE","OK"))</f>
        <v>//////</v>
      </c>
      <c r="P59" s="14"/>
      <c r="S59" s="7"/>
    </row>
    <row r="60" spans="2:19" ht="23.25" customHeight="1" x14ac:dyDescent="0.3">
      <c r="B60" s="21"/>
      <c r="C60" s="21"/>
      <c r="D60" s="270"/>
      <c r="E60" s="307"/>
      <c r="F60" s="310"/>
      <c r="G60" s="294"/>
      <c r="H60" s="295"/>
      <c r="I60" s="310"/>
      <c r="J60" s="286"/>
      <c r="K60" s="286"/>
      <c r="L60" s="288"/>
      <c r="M60" s="291"/>
      <c r="P60" s="14"/>
      <c r="S60" s="7"/>
    </row>
    <row r="61" spans="2:19" ht="23.25" customHeight="1" x14ac:dyDescent="0.3">
      <c r="B61" s="21" t="str">
        <f>CONCATENATE($E$5,"4")</f>
        <v>SO-03/C4</v>
      </c>
      <c r="C61" s="21"/>
      <c r="D61" s="269">
        <f>VLOOKUP($B61,_postazioni5,3,FALSE)</f>
        <v>0</v>
      </c>
      <c r="E61" s="307" t="str">
        <f t="shared" ref="E61" si="10">IF(D61=0,"//////",E37)</f>
        <v>//////</v>
      </c>
      <c r="F61" s="309"/>
      <c r="G61" s="292"/>
      <c r="H61" s="293"/>
      <c r="I61" s="312"/>
      <c r="J61" s="285" t="str">
        <f t="shared" ref="J61" ca="1" si="11">IF(OR(A37="P",E61="//////"),"//////",(TODAY()-I61)/365)</f>
        <v>//////</v>
      </c>
      <c r="K61" s="285">
        <v>6</v>
      </c>
      <c r="L61" s="287">
        <v>230000</v>
      </c>
      <c r="M61" s="282" t="str">
        <f>IF(OR(A37="P",E61="//////"),"//////",IF(OR(G61&lt;0,J61&gt;K61,(G61&gt;L61)),"ERRORE","OK"))</f>
        <v>//////</v>
      </c>
      <c r="P61" s="14"/>
      <c r="S61" s="7"/>
    </row>
    <row r="62" spans="2:19" ht="23.25" customHeight="1" x14ac:dyDescent="0.3">
      <c r="B62" s="21"/>
      <c r="C62" s="21"/>
      <c r="D62" s="270"/>
      <c r="E62" s="307"/>
      <c r="F62" s="310"/>
      <c r="G62" s="294"/>
      <c r="H62" s="295"/>
      <c r="I62" s="310"/>
      <c r="J62" s="286"/>
      <c r="K62" s="286"/>
      <c r="L62" s="288"/>
      <c r="M62" s="291"/>
      <c r="P62" s="14"/>
      <c r="S62" s="7"/>
    </row>
    <row r="63" spans="2:19" ht="23.25" customHeight="1" x14ac:dyDescent="0.3">
      <c r="B63" s="21" t="str">
        <f>CONCATENATE($E$5,"5")</f>
        <v>SO-03/C5</v>
      </c>
      <c r="C63" s="21"/>
      <c r="D63" s="269">
        <f>VLOOKUP($B63,_postazioni5,3,FALSE)</f>
        <v>0</v>
      </c>
      <c r="E63" s="307" t="str">
        <f t="shared" ref="E63" si="12">IF(D63=0,"//////",E39)</f>
        <v>//////</v>
      </c>
      <c r="F63" s="309"/>
      <c r="G63" s="292"/>
      <c r="H63" s="293"/>
      <c r="I63" s="312"/>
      <c r="J63" s="285" t="str">
        <f t="shared" ref="J63" ca="1" si="13">IF(OR(A39="P",E63="//////"),"//////",(TODAY()-I63)/365)</f>
        <v>//////</v>
      </c>
      <c r="K63" s="285">
        <v>6</v>
      </c>
      <c r="L63" s="287">
        <v>230000</v>
      </c>
      <c r="M63" s="282" t="str">
        <f>IF(OR(A39="P",E63="//////"),"//////",IF(OR(G63&lt;0,J63&gt;K63,(G63&gt;L63)),"ERRORE","OK"))</f>
        <v>//////</v>
      </c>
      <c r="P63" s="14"/>
      <c r="S63" s="7"/>
    </row>
    <row r="64" spans="2:19" ht="23.25" customHeight="1" x14ac:dyDescent="0.3">
      <c r="B64" s="21"/>
      <c r="C64" s="21"/>
      <c r="D64" s="270"/>
      <c r="E64" s="307"/>
      <c r="F64" s="310"/>
      <c r="G64" s="294"/>
      <c r="H64" s="295"/>
      <c r="I64" s="310"/>
      <c r="J64" s="286"/>
      <c r="K64" s="286"/>
      <c r="L64" s="288"/>
      <c r="M64" s="291"/>
      <c r="P64" s="14"/>
      <c r="S64" s="7"/>
    </row>
    <row r="65" spans="2:19" ht="23.25" customHeight="1" x14ac:dyDescent="0.3">
      <c r="B65" s="21" t="str">
        <f>CONCATENATE($E$5,"6")</f>
        <v>SO-03/C6</v>
      </c>
      <c r="C65" s="21"/>
      <c r="D65" s="269">
        <f>VLOOKUP($B65,_postazioni5,3,FALSE)</f>
        <v>0</v>
      </c>
      <c r="E65" s="307" t="str">
        <f t="shared" ref="E65" si="14">IF(D65=0,"//////",E41)</f>
        <v>//////</v>
      </c>
      <c r="F65" s="309"/>
      <c r="G65" s="292"/>
      <c r="H65" s="293"/>
      <c r="I65" s="309"/>
      <c r="J65" s="285" t="str">
        <f t="shared" ref="J65" ca="1" si="15">IF(OR(A41="P",E65="//////"),"//////",(TODAY()-I65)/365)</f>
        <v>//////</v>
      </c>
      <c r="K65" s="285">
        <v>6</v>
      </c>
      <c r="L65" s="287">
        <v>230000</v>
      </c>
      <c r="M65" s="282" t="str">
        <f>IF(OR(A41="P",E65="//////"),"//////",IF(OR(G65&lt;0,J65&gt;K65,(G65&gt;L65)),"ERRORE","OK"))</f>
        <v>//////</v>
      </c>
      <c r="P65" s="14"/>
      <c r="S65" s="7"/>
    </row>
    <row r="66" spans="2:19" ht="23.25" customHeight="1" x14ac:dyDescent="0.3">
      <c r="B66" s="21"/>
      <c r="C66" s="21"/>
      <c r="D66" s="270"/>
      <c r="E66" s="307"/>
      <c r="F66" s="310"/>
      <c r="G66" s="294"/>
      <c r="H66" s="295"/>
      <c r="I66" s="310"/>
      <c r="J66" s="286"/>
      <c r="K66" s="286"/>
      <c r="L66" s="288"/>
      <c r="M66" s="291"/>
      <c r="P66" s="14"/>
      <c r="S66" s="7"/>
    </row>
    <row r="67" spans="2:19" ht="21" thickBot="1" x14ac:dyDescent="0.35">
      <c r="D67" s="26"/>
      <c r="E67" s="27"/>
      <c r="F67" s="41"/>
      <c r="G67" s="27"/>
      <c r="H67" s="27"/>
      <c r="I67" s="27"/>
      <c r="J67" s="27"/>
      <c r="K67" s="27"/>
      <c r="L67" s="27"/>
      <c r="M67" s="27"/>
      <c r="N67" s="27"/>
      <c r="O67" s="27"/>
      <c r="P67" s="28"/>
      <c r="S67" s="7"/>
    </row>
    <row r="68" spans="2:19" x14ac:dyDescent="0.3">
      <c r="D68" s="10" t="s">
        <v>119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11"/>
      <c r="P68" s="12"/>
      <c r="S68" s="7"/>
    </row>
    <row r="69" spans="2:19" x14ac:dyDescent="0.3">
      <c r="D69" s="29" t="s">
        <v>143</v>
      </c>
      <c r="E69" s="3"/>
      <c r="F69" s="3"/>
      <c r="G69" s="3"/>
      <c r="H69" s="3"/>
      <c r="I69" s="3"/>
      <c r="J69" s="3"/>
      <c r="K69" s="3"/>
      <c r="L69" s="3"/>
      <c r="M69" s="3"/>
      <c r="N69" s="3"/>
      <c r="P69" s="14"/>
      <c r="Q69" s="8"/>
      <c r="S69" s="7"/>
    </row>
    <row r="70" spans="2:19" x14ac:dyDescent="0.3">
      <c r="D70" s="29" t="s">
        <v>144</v>
      </c>
      <c r="E70" s="3"/>
      <c r="F70" s="3"/>
      <c r="G70" s="3"/>
      <c r="H70" s="3"/>
      <c r="I70" s="3"/>
      <c r="J70" s="3"/>
      <c r="K70" s="3"/>
      <c r="L70" s="3"/>
      <c r="M70" s="3"/>
      <c r="N70" s="3"/>
      <c r="P70" s="14"/>
      <c r="Q70" s="8"/>
      <c r="S70" s="7"/>
    </row>
    <row r="71" spans="2:19" x14ac:dyDescent="0.3">
      <c r="D71" s="29" t="s">
        <v>145</v>
      </c>
      <c r="E71" s="3"/>
      <c r="F71" s="3"/>
      <c r="G71" s="3"/>
      <c r="H71" s="3"/>
      <c r="I71" s="3"/>
      <c r="J71" s="3"/>
      <c r="K71" s="3"/>
      <c r="L71" s="3"/>
      <c r="M71" s="3"/>
      <c r="N71" s="3"/>
      <c r="P71" s="14"/>
      <c r="R71" s="8"/>
      <c r="S71" s="7"/>
    </row>
    <row r="72" spans="2:19" x14ac:dyDescent="0.3">
      <c r="D72" s="29" t="s">
        <v>175</v>
      </c>
      <c r="E72" s="3"/>
      <c r="F72" s="3"/>
      <c r="G72" s="3"/>
      <c r="H72" s="3"/>
      <c r="I72" s="3"/>
      <c r="J72" s="3"/>
      <c r="K72" s="3"/>
      <c r="L72" s="3"/>
      <c r="M72" s="3"/>
      <c r="N72" s="3"/>
      <c r="P72" s="14"/>
      <c r="R72" s="8"/>
      <c r="S72" s="7"/>
    </row>
    <row r="73" spans="2:19" x14ac:dyDescent="0.3">
      <c r="D73" s="13"/>
      <c r="E73" s="3"/>
      <c r="F73" s="3"/>
      <c r="G73" s="3"/>
      <c r="H73" s="3"/>
      <c r="I73" s="3"/>
      <c r="J73" s="3"/>
      <c r="K73" s="3"/>
      <c r="L73" s="3"/>
      <c r="M73" s="3"/>
      <c r="N73" s="3"/>
      <c r="P73" s="14"/>
      <c r="R73" s="8"/>
      <c r="S73" s="7"/>
    </row>
    <row r="74" spans="2:19" x14ac:dyDescent="0.3">
      <c r="D74" s="51" t="s">
        <v>146</v>
      </c>
      <c r="E74" s="3"/>
      <c r="F74" s="3"/>
      <c r="G74" s="3"/>
      <c r="H74" s="3"/>
      <c r="I74" s="3"/>
      <c r="J74" s="3"/>
      <c r="K74" s="3"/>
      <c r="L74" s="3"/>
      <c r="M74" s="3"/>
      <c r="N74" s="3"/>
      <c r="P74" s="14"/>
      <c r="S74" s="7"/>
    </row>
    <row r="75" spans="2:19" ht="40.5" customHeight="1" x14ac:dyDescent="0.3">
      <c r="D75" s="52" t="s">
        <v>153</v>
      </c>
      <c r="E75" s="53"/>
      <c r="P75" s="14"/>
      <c r="S75" s="7"/>
    </row>
    <row r="76" spans="2:19" ht="40.5" customHeight="1" x14ac:dyDescent="0.3">
      <c r="D76" s="52" t="s">
        <v>154</v>
      </c>
      <c r="E76" s="53"/>
      <c r="P76" s="14"/>
      <c r="S76" s="7"/>
    </row>
    <row r="77" spans="2:19" x14ac:dyDescent="0.3">
      <c r="D77" s="18" t="s">
        <v>121</v>
      </c>
      <c r="E77" s="273" t="str">
        <f>VLOOKUP($B$30,_postazioni5,8,FALSE)</f>
        <v>N 46° 16' 13.51"  E 09° 51' 25.16"</v>
      </c>
      <c r="F77" s="273"/>
      <c r="P77" s="14"/>
      <c r="S77" s="7"/>
    </row>
    <row r="78" spans="2:19" x14ac:dyDescent="0.3">
      <c r="D78" s="18" t="s">
        <v>122</v>
      </c>
      <c r="E78" s="5" t="s">
        <v>166</v>
      </c>
      <c r="P78" s="14"/>
      <c r="S78" s="7"/>
    </row>
    <row r="79" spans="2:19" x14ac:dyDescent="0.3">
      <c r="D79" s="18" t="s">
        <v>123</v>
      </c>
      <c r="E79" s="5" t="s">
        <v>150</v>
      </c>
      <c r="P79" s="14"/>
      <c r="S79" s="7"/>
    </row>
    <row r="80" spans="2:19" x14ac:dyDescent="0.3">
      <c r="D80" s="18" t="s">
        <v>151</v>
      </c>
      <c r="E80" s="5" t="s">
        <v>152</v>
      </c>
      <c r="P80" s="14"/>
      <c r="S80" s="7"/>
    </row>
    <row r="81" spans="1:19" ht="31.9" customHeight="1" x14ac:dyDescent="0.3">
      <c r="D81" s="18" t="s">
        <v>120</v>
      </c>
      <c r="P81" s="14"/>
      <c r="S81" s="7"/>
    </row>
    <row r="82" spans="1:19" ht="101.25" customHeight="1" x14ac:dyDescent="0.3">
      <c r="D82" s="320" t="s">
        <v>105</v>
      </c>
      <c r="E82" s="304" t="s">
        <v>103</v>
      </c>
      <c r="F82" s="326" t="s">
        <v>165</v>
      </c>
      <c r="G82" s="327"/>
      <c r="H82" s="328"/>
      <c r="I82" s="304" t="s">
        <v>8</v>
      </c>
      <c r="J82" s="304" t="s">
        <v>9</v>
      </c>
      <c r="K82" s="304" t="s">
        <v>47</v>
      </c>
      <c r="L82" s="304" t="s">
        <v>124</v>
      </c>
      <c r="M82" s="304" t="s">
        <v>77</v>
      </c>
      <c r="N82" s="304" t="s">
        <v>78</v>
      </c>
      <c r="O82" s="304" t="s">
        <v>79</v>
      </c>
      <c r="P82" s="322" t="s">
        <v>37</v>
      </c>
      <c r="S82" s="7"/>
    </row>
    <row r="83" spans="1:19" ht="151.5" customHeight="1" x14ac:dyDescent="0.3">
      <c r="D83" s="320"/>
      <c r="E83" s="304"/>
      <c r="F83" s="329"/>
      <c r="G83" s="330"/>
      <c r="H83" s="331"/>
      <c r="I83" s="304"/>
      <c r="J83" s="304"/>
      <c r="K83" s="304"/>
      <c r="L83" s="304"/>
      <c r="M83" s="304"/>
      <c r="N83" s="304"/>
      <c r="O83" s="304"/>
      <c r="P83" s="323"/>
      <c r="S83" s="7"/>
    </row>
    <row r="84" spans="1:19" ht="31.5" customHeight="1" x14ac:dyDescent="0.3">
      <c r="D84" s="269" t="str">
        <f>VLOOKUP($B85,_postazioni5,3,FALSE)</f>
        <v>SO-03/C1</v>
      </c>
      <c r="E84" s="54" t="s">
        <v>113</v>
      </c>
      <c r="F84" s="32"/>
      <c r="G84" s="32"/>
      <c r="H84" s="32"/>
      <c r="I84" s="32"/>
      <c r="J84" s="32"/>
      <c r="K84" s="55"/>
      <c r="L84" s="55"/>
      <c r="M84" s="55"/>
      <c r="N84" s="55"/>
      <c r="O84" s="55"/>
      <c r="P84" s="56"/>
      <c r="S84" s="7"/>
    </row>
    <row r="85" spans="1:19" ht="99" customHeight="1" x14ac:dyDescent="0.3">
      <c r="A85" s="7">
        <f>IF(OR((K85/1000)&gt;J85,K85&lt;0,K85="",L85="",M85="",N85="",O85="",F85=""),5,3)</f>
        <v>5</v>
      </c>
      <c r="B85" s="21" t="str">
        <f>CONCATENATE($E$5,"1")</f>
        <v>SO-03/C1</v>
      </c>
      <c r="C85" s="21"/>
      <c r="D85" s="296"/>
      <c r="E85" s="57">
        <f>E54</f>
        <v>0</v>
      </c>
      <c r="F85" s="314"/>
      <c r="G85" s="315"/>
      <c r="H85" s="316"/>
      <c r="I85" s="58">
        <f>VLOOKUP($B$30,_postazioni5,10,FALSE)</f>
        <v>2</v>
      </c>
      <c r="J85" s="58">
        <f>VLOOKUP($B$30,_postazioni5,11,FALSE)</f>
        <v>4</v>
      </c>
      <c r="K85" s="59"/>
      <c r="L85" s="60" t="s">
        <v>76</v>
      </c>
      <c r="M85" s="60" t="s">
        <v>22</v>
      </c>
      <c r="N85" s="60" t="s">
        <v>22</v>
      </c>
      <c r="O85" s="60" t="s">
        <v>22</v>
      </c>
      <c r="P85" s="61" t="str">
        <f>IF(A85=5,"ERRORE","OK")</f>
        <v>ERRORE</v>
      </c>
      <c r="S85" s="7"/>
    </row>
    <row r="86" spans="1:19" ht="57" customHeight="1" x14ac:dyDescent="0.3">
      <c r="B86" s="21"/>
      <c r="C86" s="21"/>
      <c r="D86" s="324"/>
      <c r="E86" s="271" t="s">
        <v>173</v>
      </c>
      <c r="F86" s="272"/>
      <c r="G86" s="6"/>
      <c r="H86" s="62"/>
      <c r="I86" s="332" t="s">
        <v>219</v>
      </c>
      <c r="J86" s="332"/>
      <c r="K86" s="332"/>
      <c r="L86" s="332"/>
      <c r="M86" s="332"/>
      <c r="N86" s="332"/>
      <c r="O86" s="333"/>
      <c r="P86" s="63"/>
      <c r="S86" s="7"/>
    </row>
    <row r="87" spans="1:19" ht="97.5" customHeight="1" thickBot="1" x14ac:dyDescent="0.35">
      <c r="A87" s="7">
        <f>IF(OR(F87="",(K87/1000)&gt;J87,K87&lt;0,K87="",L87="",M87="",N87="",O87=""),2,1)</f>
        <v>2</v>
      </c>
      <c r="B87" s="21">
        <f>IF(E87="//////",1,A87)</f>
        <v>1</v>
      </c>
      <c r="C87" s="21"/>
      <c r="D87" s="325"/>
      <c r="E87" s="64" t="str">
        <f>E56</f>
        <v>//////</v>
      </c>
      <c r="F87" s="317"/>
      <c r="G87" s="318"/>
      <c r="H87" s="319"/>
      <c r="I87" s="65">
        <f>I85</f>
        <v>2</v>
      </c>
      <c r="J87" s="65">
        <f>J85</f>
        <v>4</v>
      </c>
      <c r="K87" s="66"/>
      <c r="L87" s="67" t="s">
        <v>76</v>
      </c>
      <c r="M87" s="67" t="s">
        <v>22</v>
      </c>
      <c r="N87" s="67" t="s">
        <v>22</v>
      </c>
      <c r="O87" s="67" t="s">
        <v>22</v>
      </c>
      <c r="P87" s="68" t="str">
        <f>IF(B87=2,"ERRORE","OK")</f>
        <v>OK</v>
      </c>
      <c r="S87" s="7"/>
    </row>
    <row r="89" spans="1:19" x14ac:dyDescent="0.3">
      <c r="A89" s="7" t="s">
        <v>129</v>
      </c>
      <c r="D89" s="9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9" x14ac:dyDescent="0.3">
      <c r="A90" s="7" t="s">
        <v>22</v>
      </c>
      <c r="D90" s="69" t="s">
        <v>147</v>
      </c>
    </row>
    <row r="91" spans="1:19" x14ac:dyDescent="0.3">
      <c r="D91" s="69" t="s">
        <v>148</v>
      </c>
    </row>
    <row r="92" spans="1:19" x14ac:dyDescent="0.3">
      <c r="D92" s="69" t="s">
        <v>142</v>
      </c>
    </row>
    <row r="93" spans="1:19" x14ac:dyDescent="0.3">
      <c r="D93" s="69" t="s">
        <v>149</v>
      </c>
    </row>
    <row r="94" spans="1:19" x14ac:dyDescent="0.3">
      <c r="D94" s="69" t="s">
        <v>167</v>
      </c>
    </row>
    <row r="95" spans="1:19" x14ac:dyDescent="0.3">
      <c r="A95" s="7" t="s">
        <v>130</v>
      </c>
    </row>
    <row r="96" spans="1:19" ht="69.599999999999994" customHeight="1" x14ac:dyDescent="0.3">
      <c r="A96" s="70" t="s">
        <v>74</v>
      </c>
      <c r="D96" s="321" t="s">
        <v>168</v>
      </c>
      <c r="E96" s="321"/>
      <c r="F96" s="321"/>
      <c r="G96" s="321"/>
      <c r="H96" s="321"/>
      <c r="I96" s="321"/>
      <c r="J96" s="321"/>
      <c r="K96" s="321"/>
      <c r="L96" s="321"/>
      <c r="M96" s="321"/>
      <c r="N96" s="321"/>
      <c r="O96" s="321"/>
      <c r="P96" s="321"/>
    </row>
    <row r="97" spans="1:16" ht="283.89999999999998" hidden="1" customHeight="1" x14ac:dyDescent="0.3">
      <c r="A97" s="70" t="s">
        <v>76</v>
      </c>
      <c r="D97" s="321"/>
      <c r="E97" s="321"/>
      <c r="F97" s="321"/>
      <c r="G97" s="321"/>
      <c r="H97" s="321"/>
      <c r="I97" s="321"/>
      <c r="J97" s="321"/>
      <c r="K97" s="321"/>
      <c r="L97" s="321"/>
      <c r="M97" s="321"/>
      <c r="N97" s="321"/>
      <c r="O97" s="321"/>
      <c r="P97" s="321"/>
    </row>
    <row r="98" spans="1:16" x14ac:dyDescent="0.3">
      <c r="D98" s="5"/>
    </row>
    <row r="101" spans="1:16" x14ac:dyDescent="0.3">
      <c r="D101" s="5" t="s">
        <v>169</v>
      </c>
    </row>
    <row r="103" spans="1:16" ht="40.5" x14ac:dyDescent="0.3">
      <c r="D103" s="71" t="s">
        <v>170</v>
      </c>
      <c r="E103" s="314"/>
      <c r="F103" s="315"/>
      <c r="G103" s="316"/>
      <c r="H103" s="71"/>
      <c r="I103" s="71"/>
      <c r="J103" s="71"/>
      <c r="K103" s="71"/>
      <c r="L103" s="71"/>
      <c r="M103" s="71"/>
      <c r="N103" s="71"/>
      <c r="O103" s="71"/>
      <c r="P103" s="71"/>
    </row>
    <row r="105" spans="1:16" ht="40.5" x14ac:dyDescent="0.3">
      <c r="D105" s="71" t="s">
        <v>170</v>
      </c>
      <c r="E105" s="313"/>
      <c r="F105" s="313"/>
      <c r="G105" s="313"/>
    </row>
    <row r="107" spans="1:16" x14ac:dyDescent="0.3">
      <c r="D107" s="71" t="s">
        <v>170</v>
      </c>
      <c r="E107" s="314"/>
      <c r="F107" s="315"/>
      <c r="G107" s="316"/>
    </row>
    <row r="109" spans="1:16" x14ac:dyDescent="0.3">
      <c r="D109" s="71" t="s">
        <v>170</v>
      </c>
      <c r="E109" s="314"/>
      <c r="F109" s="315"/>
      <c r="G109" s="316"/>
    </row>
    <row r="111" spans="1:16" x14ac:dyDescent="0.3">
      <c r="D111" s="71" t="s">
        <v>170</v>
      </c>
      <c r="E111" s="314"/>
      <c r="F111" s="315"/>
      <c r="G111" s="316"/>
    </row>
  </sheetData>
  <sheetProtection algorithmName="SHA-512" hashValue="oUkHkl3CgnnmysZO2mOgI2czHLZyg7PsIZTOeEOGKD95gUEmYK7SjVjGco3rsikRd3w54/OERUv9zy+mVJ8L8g==" saltValue="MT0uCnpR/UsX3AQW6VJUYw==" spinCount="100000" sheet="1" objects="1" scenarios="1"/>
  <mergeCells count="172">
    <mergeCell ref="I82:I83"/>
    <mergeCell ref="D84:D87"/>
    <mergeCell ref="F85:H85"/>
    <mergeCell ref="F82:H83"/>
    <mergeCell ref="D53:D56"/>
    <mergeCell ref="D57:D58"/>
    <mergeCell ref="E57:E58"/>
    <mergeCell ref="D41:D42"/>
    <mergeCell ref="E103:G103"/>
    <mergeCell ref="I86:O86"/>
    <mergeCell ref="O82:O83"/>
    <mergeCell ref="K61:K62"/>
    <mergeCell ref="K59:K60"/>
    <mergeCell ref="L59:L60"/>
    <mergeCell ref="M59:M60"/>
    <mergeCell ref="M65:M66"/>
    <mergeCell ref="G56:H56"/>
    <mergeCell ref="G57:H58"/>
    <mergeCell ref="G59:H60"/>
    <mergeCell ref="G61:H62"/>
    <mergeCell ref="K65:K66"/>
    <mergeCell ref="L65:L66"/>
    <mergeCell ref="G65:H66"/>
    <mergeCell ref="M61:M62"/>
    <mergeCell ref="E105:G105"/>
    <mergeCell ref="E107:G107"/>
    <mergeCell ref="E109:G109"/>
    <mergeCell ref="E111:G111"/>
    <mergeCell ref="F87:H87"/>
    <mergeCell ref="D82:D83"/>
    <mergeCell ref="E82:E83"/>
    <mergeCell ref="D59:D60"/>
    <mergeCell ref="E59:E60"/>
    <mergeCell ref="F59:F60"/>
    <mergeCell ref="D65:D66"/>
    <mergeCell ref="E65:E66"/>
    <mergeCell ref="F65:F66"/>
    <mergeCell ref="D63:D64"/>
    <mergeCell ref="E63:E64"/>
    <mergeCell ref="F63:F64"/>
    <mergeCell ref="F61:F62"/>
    <mergeCell ref="D96:P96"/>
    <mergeCell ref="D97:P97"/>
    <mergeCell ref="P82:P83"/>
    <mergeCell ref="K82:K83"/>
    <mergeCell ref="N82:N83"/>
    <mergeCell ref="M82:M83"/>
    <mergeCell ref="L82:L83"/>
    <mergeCell ref="A33:A34"/>
    <mergeCell ref="A35:A36"/>
    <mergeCell ref="A37:A38"/>
    <mergeCell ref="A39:A40"/>
    <mergeCell ref="A41:A42"/>
    <mergeCell ref="J82:J83"/>
    <mergeCell ref="G52:H52"/>
    <mergeCell ref="D61:D62"/>
    <mergeCell ref="E61:E62"/>
    <mergeCell ref="F57:F58"/>
    <mergeCell ref="I65:I66"/>
    <mergeCell ref="J57:J58"/>
    <mergeCell ref="J59:J60"/>
    <mergeCell ref="J61:J62"/>
    <mergeCell ref="J63:J64"/>
    <mergeCell ref="J65:J66"/>
    <mergeCell ref="J41:J42"/>
    <mergeCell ref="I57:I58"/>
    <mergeCell ref="I59:I60"/>
    <mergeCell ref="I61:I62"/>
    <mergeCell ref="I63:I64"/>
    <mergeCell ref="G33:G34"/>
    <mergeCell ref="G35:G36"/>
    <mergeCell ref="G37:G38"/>
    <mergeCell ref="D29:D32"/>
    <mergeCell ref="I33:I34"/>
    <mergeCell ref="I35:I36"/>
    <mergeCell ref="I37:I38"/>
    <mergeCell ref="I39:I40"/>
    <mergeCell ref="I41:I42"/>
    <mergeCell ref="J33:J34"/>
    <mergeCell ref="J35:J36"/>
    <mergeCell ref="J37:J38"/>
    <mergeCell ref="J39:J40"/>
    <mergeCell ref="H33:H34"/>
    <mergeCell ref="H35:H36"/>
    <mergeCell ref="H37:H38"/>
    <mergeCell ref="H39:H40"/>
    <mergeCell ref="H41:H42"/>
    <mergeCell ref="D35:D36"/>
    <mergeCell ref="D37:D38"/>
    <mergeCell ref="D39:D40"/>
    <mergeCell ref="F33:F34"/>
    <mergeCell ref="F37:F38"/>
    <mergeCell ref="H30:H32"/>
    <mergeCell ref="F30:F32"/>
    <mergeCell ref="J30:J32"/>
    <mergeCell ref="E33:E34"/>
    <mergeCell ref="M54:M56"/>
    <mergeCell ref="K57:K58"/>
    <mergeCell ref="L61:L62"/>
    <mergeCell ref="G54:H54"/>
    <mergeCell ref="L57:L58"/>
    <mergeCell ref="M57:M58"/>
    <mergeCell ref="K63:K64"/>
    <mergeCell ref="L63:L64"/>
    <mergeCell ref="M63:M64"/>
    <mergeCell ref="G63:H64"/>
    <mergeCell ref="F19:F20"/>
    <mergeCell ref="G19:G20"/>
    <mergeCell ref="H19:H20"/>
    <mergeCell ref="I19:I20"/>
    <mergeCell ref="J19:J20"/>
    <mergeCell ref="L17:L18"/>
    <mergeCell ref="M17:M18"/>
    <mergeCell ref="D19:D20"/>
    <mergeCell ref="F17:F18"/>
    <mergeCell ref="G17:G18"/>
    <mergeCell ref="H17:H18"/>
    <mergeCell ref="I17:I18"/>
    <mergeCell ref="J17:J18"/>
    <mergeCell ref="K17:K18"/>
    <mergeCell ref="K19:K20"/>
    <mergeCell ref="L19:L20"/>
    <mergeCell ref="M19:M20"/>
    <mergeCell ref="D17:D18"/>
    <mergeCell ref="I11:I12"/>
    <mergeCell ref="G15:G16"/>
    <mergeCell ref="H15:H16"/>
    <mergeCell ref="I15:I16"/>
    <mergeCell ref="J15:J16"/>
    <mergeCell ref="K15:K16"/>
    <mergeCell ref="L15:L16"/>
    <mergeCell ref="F15:F16"/>
    <mergeCell ref="D13:D14"/>
    <mergeCell ref="I13:I14"/>
    <mergeCell ref="J13:J14"/>
    <mergeCell ref="K13:K14"/>
    <mergeCell ref="M9:M10"/>
    <mergeCell ref="M11:M12"/>
    <mergeCell ref="L13:L14"/>
    <mergeCell ref="M13:M14"/>
    <mergeCell ref="D15:D16"/>
    <mergeCell ref="F13:F14"/>
    <mergeCell ref="G13:G14"/>
    <mergeCell ref="H13:H14"/>
    <mergeCell ref="M15:M16"/>
    <mergeCell ref="D11:D12"/>
    <mergeCell ref="G9:G10"/>
    <mergeCell ref="H9:H10"/>
    <mergeCell ref="I9:I10"/>
    <mergeCell ref="J9:J10"/>
    <mergeCell ref="K9:K10"/>
    <mergeCell ref="L9:L10"/>
    <mergeCell ref="F9:F10"/>
    <mergeCell ref="D9:D10"/>
    <mergeCell ref="K11:K12"/>
    <mergeCell ref="L11:L12"/>
    <mergeCell ref="F11:F12"/>
    <mergeCell ref="G11:G12"/>
    <mergeCell ref="H11:H12"/>
    <mergeCell ref="J11:J12"/>
    <mergeCell ref="E35:E36"/>
    <mergeCell ref="E37:E38"/>
    <mergeCell ref="E39:E40"/>
    <mergeCell ref="E41:E42"/>
    <mergeCell ref="D33:D34"/>
    <mergeCell ref="E86:F86"/>
    <mergeCell ref="E77:F77"/>
    <mergeCell ref="G39:G40"/>
    <mergeCell ref="F41:F42"/>
    <mergeCell ref="G41:G42"/>
    <mergeCell ref="F39:F40"/>
    <mergeCell ref="F35:F36"/>
  </mergeCells>
  <conditionalFormatting sqref="M54:M66 P85:P87 J30:J42">
    <cfRule type="cellIs" dxfId="36" priority="166" operator="equal">
      <formula>"ERRORE"</formula>
    </cfRule>
    <cfRule type="cellIs" dxfId="35" priority="179" operator="equal">
      <formula>"OK"</formula>
    </cfRule>
  </conditionalFormatting>
  <conditionalFormatting sqref="M57:M66 J33:J42">
    <cfRule type="cellIs" dxfId="34" priority="178" operator="equal">
      <formula>"OK"</formula>
    </cfRule>
  </conditionalFormatting>
  <conditionalFormatting sqref="E41:E42">
    <cfRule type="expression" dxfId="33" priority="56">
      <formula>$D41=0</formula>
    </cfRule>
  </conditionalFormatting>
  <conditionalFormatting sqref="E35:E42">
    <cfRule type="expression" dxfId="32" priority="55">
      <formula>$D35=0</formula>
    </cfRule>
  </conditionalFormatting>
  <conditionalFormatting sqref="G41:G42">
    <cfRule type="expression" dxfId="31" priority="54">
      <formula>$D41=0</formula>
    </cfRule>
  </conditionalFormatting>
  <conditionalFormatting sqref="G33:G40">
    <cfRule type="expression" dxfId="30" priority="53">
      <formula>$D33=0</formula>
    </cfRule>
  </conditionalFormatting>
  <conditionalFormatting sqref="F65:F66">
    <cfRule type="expression" dxfId="29" priority="38">
      <formula>$E65="//////"</formula>
    </cfRule>
  </conditionalFormatting>
  <conditionalFormatting sqref="F59:F66">
    <cfRule type="expression" dxfId="28" priority="37">
      <formula>$E59="//////"</formula>
    </cfRule>
  </conditionalFormatting>
  <conditionalFormatting sqref="G65">
    <cfRule type="expression" dxfId="27" priority="36">
      <formula>$E65="//////"</formula>
    </cfRule>
  </conditionalFormatting>
  <conditionalFormatting sqref="G59 G61 G63">
    <cfRule type="expression" dxfId="26" priority="35">
      <formula>$E59="//////"</formula>
    </cfRule>
  </conditionalFormatting>
  <conditionalFormatting sqref="I65:I66">
    <cfRule type="expression" dxfId="25" priority="34">
      <formula>$E65="//////"</formula>
    </cfRule>
  </conditionalFormatting>
  <conditionalFormatting sqref="I59:I64">
    <cfRule type="expression" dxfId="24" priority="33">
      <formula>$E59="//////"</formula>
    </cfRule>
  </conditionalFormatting>
  <conditionalFormatting sqref="L85:O85">
    <cfRule type="expression" dxfId="23" priority="25">
      <formula>$E85="//////"</formula>
    </cfRule>
  </conditionalFormatting>
  <conditionalFormatting sqref="L87:O87">
    <cfRule type="expression" dxfId="22" priority="24">
      <formula>$E87="//////"</formula>
    </cfRule>
  </conditionalFormatting>
  <conditionalFormatting sqref="F56">
    <cfRule type="expression" dxfId="21" priority="23">
      <formula>$E56="//////"</formula>
    </cfRule>
  </conditionalFormatting>
  <conditionalFormatting sqref="G56:H56">
    <cfRule type="expression" dxfId="20" priority="22">
      <formula>$E56="//////"</formula>
    </cfRule>
  </conditionalFormatting>
  <conditionalFormatting sqref="I56">
    <cfRule type="expression" dxfId="19" priority="21">
      <formula>$E56="//////"</formula>
    </cfRule>
  </conditionalFormatting>
  <conditionalFormatting sqref="F87:H87">
    <cfRule type="expression" dxfId="18" priority="20">
      <formula>$E87="//////"</formula>
    </cfRule>
  </conditionalFormatting>
  <conditionalFormatting sqref="K85">
    <cfRule type="expression" dxfId="17" priority="19">
      <formula>$E85="//////"</formula>
    </cfRule>
  </conditionalFormatting>
  <conditionalFormatting sqref="K87">
    <cfRule type="expression" dxfId="16" priority="18">
      <formula>$E87="//////"</formula>
    </cfRule>
  </conditionalFormatting>
  <conditionalFormatting sqref="E35:E42">
    <cfRule type="expression" dxfId="15" priority="16">
      <formula>$A35="P"</formula>
    </cfRule>
  </conditionalFormatting>
  <conditionalFormatting sqref="G59 G61 G63 G65">
    <cfRule type="expression" dxfId="14" priority="15">
      <formula>$A35="P"</formula>
    </cfRule>
  </conditionalFormatting>
  <conditionalFormatting sqref="F59:F66">
    <cfRule type="expression" dxfId="13" priority="14">
      <formula>$A35="P"</formula>
    </cfRule>
  </conditionalFormatting>
  <conditionalFormatting sqref="I65:I66 G65">
    <cfRule type="expression" dxfId="12" priority="13">
      <formula>$E65="//////"</formula>
    </cfRule>
  </conditionalFormatting>
  <conditionalFormatting sqref="I59:I66 G59 G61 G63 G65">
    <cfRule type="expression" dxfId="11" priority="12">
      <formula>$E59="//////"</formula>
    </cfRule>
  </conditionalFormatting>
  <conditionalFormatting sqref="I59:I66">
    <cfRule type="expression" dxfId="10" priority="11">
      <formula>$A35="P"</formula>
    </cfRule>
  </conditionalFormatting>
  <conditionalFormatting sqref="M87">
    <cfRule type="expression" dxfId="9" priority="10">
      <formula>$E87="//////"</formula>
    </cfRule>
  </conditionalFormatting>
  <conditionalFormatting sqref="N87">
    <cfRule type="expression" dxfId="8" priority="9">
      <formula>$E87="//////"</formula>
    </cfRule>
  </conditionalFormatting>
  <conditionalFormatting sqref="O87">
    <cfRule type="expression" dxfId="7" priority="8">
      <formula>$E87="//////"</formula>
    </cfRule>
  </conditionalFormatting>
  <conditionalFormatting sqref="L87">
    <cfRule type="expression" dxfId="6" priority="7">
      <formula>$E87="//////"</formula>
    </cfRule>
  </conditionalFormatting>
  <conditionalFormatting sqref="E33:E34">
    <cfRule type="expression" dxfId="5" priority="5">
      <formula>$D33=0</formula>
    </cfRule>
  </conditionalFormatting>
  <conditionalFormatting sqref="E33:E34">
    <cfRule type="expression" dxfId="4" priority="6">
      <formula>$A33="P"</formula>
    </cfRule>
  </conditionalFormatting>
  <conditionalFormatting sqref="F57:F58">
    <cfRule type="expression" dxfId="3" priority="3">
      <formula>$E57="//////"</formula>
    </cfRule>
  </conditionalFormatting>
  <conditionalFormatting sqref="F57:F58">
    <cfRule type="expression" dxfId="2" priority="4">
      <formula>$A33="P"</formula>
    </cfRule>
  </conditionalFormatting>
  <conditionalFormatting sqref="G57:H58">
    <cfRule type="expression" dxfId="1" priority="2">
      <formula>$E57="//////"</formula>
    </cfRule>
  </conditionalFormatting>
  <conditionalFormatting sqref="I57:I58">
    <cfRule type="expression" dxfId="0" priority="1">
      <formula>$E57="//////"</formula>
    </cfRule>
  </conditionalFormatting>
  <dataValidations count="2">
    <dataValidation type="list" allowBlank="1" showInputMessage="1" showErrorMessage="1" sqref="M85:O85 M87:O87" xr:uid="{00000000-0002-0000-0200-000000000000}">
      <formula1>$A$89:$A$90</formula1>
    </dataValidation>
    <dataValidation type="list" allowBlank="1" showInputMessage="1" showErrorMessage="1" sqref="L85 L87" xr:uid="{00000000-0002-0000-0200-000001000000}">
      <formula1>$A$95:$A$97</formula1>
    </dataValidation>
  </dataValidations>
  <pageMargins left="0.31496062992125984" right="0.31496062992125984" top="0.15748031496062992" bottom="0.15748031496062992" header="0.31496062992125984" footer="0.31496062992125984"/>
  <pageSetup paperSize="9" scale="30" fitToHeight="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3000000}">
          <x14:formula1>
            <xm:f>elencoschede!$A$2:$A$825</xm:f>
          </x14:formula1>
          <xm:sqref>E5</xm:sqref>
        </x14:dataValidation>
        <x14:dataValidation type="list" allowBlank="1" showInputMessage="1" showErrorMessage="1" xr:uid="{00000000-0002-0000-0200-000002000000}">
          <x14:formula1>
            <xm:f>elencoschede!A2:A664</xm:f>
          </x14:formula1>
          <xm:sqref>E5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D116"/>
  <sheetViews>
    <sheetView view="pageBreakPreview" topLeftCell="O1" zoomScale="40" zoomScaleNormal="290" zoomScaleSheetLayoutView="40" workbookViewId="0">
      <selection activeCell="N1" sqref="A1:N1048576"/>
    </sheetView>
  </sheetViews>
  <sheetFormatPr defaultColWidth="28.28515625" defaultRowHeight="15" x14ac:dyDescent="0.25"/>
  <cols>
    <col min="1" max="14" width="0" style="75" hidden="1" customWidth="1"/>
    <col min="15" max="16384" width="28.28515625" style="75"/>
  </cols>
  <sheetData>
    <row r="1" spans="1:14" ht="45" customHeight="1" thickBot="1" x14ac:dyDescent="0.3">
      <c r="A1" s="232" t="s">
        <v>31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138"/>
    </row>
    <row r="2" spans="1:14" ht="15" customHeight="1" x14ac:dyDescent="0.5">
      <c r="A2" s="339" t="str">
        <f>'Offerta tecnica'!E5</f>
        <v>SO-03/C</v>
      </c>
      <c r="B2" s="340"/>
      <c r="D2" s="87"/>
      <c r="N2" s="113"/>
    </row>
    <row r="3" spans="1:14" ht="15" customHeight="1" x14ac:dyDescent="0.5">
      <c r="A3" s="341"/>
      <c r="B3" s="342"/>
      <c r="D3" s="87"/>
      <c r="N3" s="113"/>
    </row>
    <row r="4" spans="1:14" ht="15" customHeight="1" thickBot="1" x14ac:dyDescent="0.55000000000000004">
      <c r="A4" s="343"/>
      <c r="B4" s="344"/>
      <c r="D4" s="87"/>
      <c r="N4" s="113"/>
    </row>
    <row r="5" spans="1:14" ht="39" customHeight="1" thickBot="1" x14ac:dyDescent="0.6">
      <c r="A5" s="347" t="s">
        <v>32</v>
      </c>
      <c r="B5" s="348"/>
      <c r="C5" s="348"/>
      <c r="D5" s="348"/>
      <c r="E5" s="348"/>
      <c r="F5" s="348"/>
      <c r="G5" s="348"/>
      <c r="H5" s="348"/>
      <c r="I5" s="348"/>
      <c r="J5" s="213"/>
      <c r="K5" s="115"/>
      <c r="L5" s="233" t="s">
        <v>33</v>
      </c>
      <c r="M5" s="234">
        <f>SUM(M6:M179)</f>
        <v>4</v>
      </c>
      <c r="N5" s="149"/>
    </row>
    <row r="6" spans="1:14" ht="60.75" thickBot="1" x14ac:dyDescent="0.3">
      <c r="A6" s="88"/>
      <c r="B6" s="89" t="s">
        <v>156</v>
      </c>
      <c r="C6" s="90" t="s">
        <v>155</v>
      </c>
      <c r="D6" s="90"/>
      <c r="E6" s="90"/>
      <c r="F6" s="90" t="s">
        <v>34</v>
      </c>
      <c r="G6" s="90" t="s">
        <v>35</v>
      </c>
      <c r="H6" s="90"/>
      <c r="I6" s="90" t="s">
        <v>36</v>
      </c>
      <c r="J6" s="90"/>
      <c r="K6" s="91" t="s">
        <v>38</v>
      </c>
      <c r="L6" s="95"/>
      <c r="M6" s="96"/>
      <c r="N6" s="138"/>
    </row>
    <row r="7" spans="1:14" ht="23.25" x14ac:dyDescent="0.35">
      <c r="A7" s="92" t="s">
        <v>39</v>
      </c>
      <c r="B7" s="93" t="str">
        <f>'Offerta tecnica'!D29</f>
        <v>SO-03/C1</v>
      </c>
      <c r="C7" s="335">
        <f>'Offerta tecnica'!E30</f>
        <v>0</v>
      </c>
      <c r="D7" s="336"/>
      <c r="E7" s="336"/>
      <c r="F7" s="94">
        <f>'Offerta tecnica'!F30</f>
        <v>14965</v>
      </c>
      <c r="G7" s="95" t="s">
        <v>40</v>
      </c>
      <c r="H7" s="96"/>
      <c r="I7" s="97">
        <f>'Offerta tecnica'!G30</f>
        <v>0</v>
      </c>
      <c r="J7" s="98"/>
      <c r="K7" s="99">
        <f>IF(F7="//////",0,(I7+I8)/F7)</f>
        <v>0</v>
      </c>
      <c r="L7" s="112"/>
      <c r="N7" s="113"/>
    </row>
    <row r="8" spans="1:14" ht="24" thickBot="1" x14ac:dyDescent="0.4">
      <c r="A8" s="92"/>
      <c r="B8" s="100"/>
      <c r="C8" s="337">
        <f>'Offerta tecnica'!E32</f>
        <v>0</v>
      </c>
      <c r="D8" s="338"/>
      <c r="E8" s="338"/>
      <c r="F8" s="101"/>
      <c r="G8" s="102"/>
      <c r="H8" s="103"/>
      <c r="I8" s="104">
        <f>'Offerta tecnica'!G32</f>
        <v>0</v>
      </c>
      <c r="J8" s="98"/>
      <c r="K8" s="99"/>
      <c r="L8" s="112"/>
      <c r="N8" s="113"/>
    </row>
    <row r="9" spans="1:14" ht="15.75" thickBot="1" x14ac:dyDescent="0.3">
      <c r="A9" s="105" t="s">
        <v>41</v>
      </c>
      <c r="B9" s="106">
        <f>'Offerta tecnica'!D33</f>
        <v>0</v>
      </c>
      <c r="C9" s="335">
        <f>'Offerta tecnica'!E33</f>
        <v>0</v>
      </c>
      <c r="D9" s="336"/>
      <c r="E9" s="336"/>
      <c r="F9" s="107" t="str">
        <f>'Offerta tecnica'!F33</f>
        <v>//////</v>
      </c>
      <c r="G9" s="108" t="s">
        <v>42</v>
      </c>
      <c r="H9" s="109"/>
      <c r="I9" s="110">
        <f>'Offerta tecnica'!G33</f>
        <v>0</v>
      </c>
      <c r="J9" s="98"/>
      <c r="K9" s="99">
        <f>IF(F9="//////",0,(I9)/F9)</f>
        <v>0</v>
      </c>
      <c r="L9" s="112"/>
      <c r="N9" s="113"/>
    </row>
    <row r="10" spans="1:14" ht="15.75" thickBot="1" x14ac:dyDescent="0.3">
      <c r="A10" s="105"/>
      <c r="B10" s="106">
        <f>'Offerta tecnica'!D35</f>
        <v>0</v>
      </c>
      <c r="C10" s="335">
        <f>'Offerta tecnica'!E35</f>
        <v>0</v>
      </c>
      <c r="D10" s="336"/>
      <c r="E10" s="336"/>
      <c r="F10" s="107" t="str">
        <f>'Offerta tecnica'!F35</f>
        <v>//////</v>
      </c>
      <c r="G10" s="108" t="s">
        <v>42</v>
      </c>
      <c r="H10" s="109"/>
      <c r="I10" s="110">
        <f>'Offerta tecnica'!G35</f>
        <v>0</v>
      </c>
      <c r="J10" s="98"/>
      <c r="K10" s="99">
        <f>IF(F10="//////",0,(I10)/F10)</f>
        <v>0</v>
      </c>
      <c r="L10" s="112"/>
      <c r="N10" s="113"/>
    </row>
    <row r="11" spans="1:14" ht="15.75" thickBot="1" x14ac:dyDescent="0.3">
      <c r="A11" s="105"/>
      <c r="B11" s="106">
        <f>'Offerta tecnica'!D37</f>
        <v>0</v>
      </c>
      <c r="C11" s="335">
        <f>'Offerta tecnica'!E37</f>
        <v>0</v>
      </c>
      <c r="D11" s="336"/>
      <c r="E11" s="336"/>
      <c r="F11" s="107" t="str">
        <f>'Offerta tecnica'!F37</f>
        <v>//////</v>
      </c>
      <c r="G11" s="108" t="s">
        <v>42</v>
      </c>
      <c r="H11" s="109"/>
      <c r="I11" s="110">
        <f>'Offerta tecnica'!G37</f>
        <v>0</v>
      </c>
      <c r="J11" s="98"/>
      <c r="K11" s="99">
        <f>IF(F11="//////",0,(I11)/F11)</f>
        <v>0</v>
      </c>
      <c r="L11" s="112"/>
      <c r="N11" s="113"/>
    </row>
    <row r="12" spans="1:14" ht="15.75" thickBot="1" x14ac:dyDescent="0.3">
      <c r="A12" s="105"/>
      <c r="B12" s="106">
        <f>'Offerta tecnica'!D39</f>
        <v>0</v>
      </c>
      <c r="C12" s="335">
        <f>'Offerta tecnica'!E39</f>
        <v>0</v>
      </c>
      <c r="D12" s="336"/>
      <c r="E12" s="336"/>
      <c r="F12" s="107" t="str">
        <f>'Offerta tecnica'!F39</f>
        <v>//////</v>
      </c>
      <c r="G12" s="108" t="s">
        <v>42</v>
      </c>
      <c r="H12" s="109"/>
      <c r="I12" s="110">
        <f>'Offerta tecnica'!G39</f>
        <v>0</v>
      </c>
      <c r="J12" s="98"/>
      <c r="K12" s="99">
        <f>IF(F12="//////",0,(I12)/F12)</f>
        <v>0</v>
      </c>
      <c r="L12" s="112"/>
      <c r="N12" s="113"/>
    </row>
    <row r="13" spans="1:14" ht="15.75" thickBot="1" x14ac:dyDescent="0.3">
      <c r="A13" s="105"/>
      <c r="B13" s="111">
        <f>'Offerta tecnica'!D41</f>
        <v>0</v>
      </c>
      <c r="C13" s="353">
        <f>'Offerta tecnica'!E41</f>
        <v>0</v>
      </c>
      <c r="D13" s="354"/>
      <c r="E13" s="354"/>
      <c r="F13" s="107" t="str">
        <f>'Offerta tecnica'!F41</f>
        <v>//////</v>
      </c>
      <c r="G13" s="108" t="s">
        <v>42</v>
      </c>
      <c r="H13" s="109"/>
      <c r="I13" s="110">
        <f>'Offerta tecnica'!G41</f>
        <v>0</v>
      </c>
      <c r="J13" s="98"/>
      <c r="K13" s="99">
        <f>IF(F13="//////",0,(I13)/F13)</f>
        <v>0</v>
      </c>
      <c r="L13" s="112"/>
      <c r="N13" s="113"/>
    </row>
    <row r="14" spans="1:14" x14ac:dyDescent="0.25">
      <c r="A14" s="105"/>
      <c r="B14" s="112"/>
      <c r="K14" s="113"/>
      <c r="L14" s="112"/>
      <c r="N14" s="113"/>
    </row>
    <row r="15" spans="1:14" ht="24" thickBot="1" x14ac:dyDescent="0.4">
      <c r="A15" s="105"/>
      <c r="B15" s="100" t="s">
        <v>43</v>
      </c>
      <c r="C15" s="114"/>
      <c r="D15" s="114"/>
      <c r="E15" s="115"/>
      <c r="F15" s="116">
        <f>SUM(F7:F13)</f>
        <v>14965</v>
      </c>
      <c r="G15" s="116"/>
      <c r="H15" s="116"/>
      <c r="I15" s="116">
        <f>SUM(I7:I13)</f>
        <v>0</v>
      </c>
      <c r="J15" s="116"/>
      <c r="K15" s="117">
        <f>IF(I15&gt;F15,"ERRORE",I15/F15)</f>
        <v>0</v>
      </c>
      <c r="L15" s="118" t="s">
        <v>44</v>
      </c>
      <c r="M15" s="231">
        <f>70*K15</f>
        <v>0</v>
      </c>
      <c r="N15" s="113"/>
    </row>
    <row r="16" spans="1:14" ht="15.75" thickBot="1" x14ac:dyDescent="0.3">
      <c r="A16" s="112"/>
      <c r="K16" s="113"/>
      <c r="L16" s="112"/>
      <c r="N16" s="113"/>
    </row>
    <row r="17" spans="1:14" ht="60.75" thickBot="1" x14ac:dyDescent="0.3">
      <c r="A17" s="88"/>
      <c r="B17" s="119"/>
      <c r="C17" s="120" t="s">
        <v>45</v>
      </c>
      <c r="D17" s="120" t="s">
        <v>46</v>
      </c>
      <c r="E17" s="120"/>
      <c r="F17" s="120" t="s">
        <v>47</v>
      </c>
      <c r="G17" s="120" t="s">
        <v>48</v>
      </c>
      <c r="H17" s="120"/>
      <c r="I17" s="121"/>
      <c r="J17" s="120" t="s">
        <v>157</v>
      </c>
      <c r="K17" s="122"/>
      <c r="L17" s="112"/>
      <c r="N17" s="113"/>
    </row>
    <row r="18" spans="1:14" ht="28.5" customHeight="1" thickBot="1" x14ac:dyDescent="0.4">
      <c r="A18" s="92" t="s">
        <v>49</v>
      </c>
      <c r="B18" s="123" t="s">
        <v>50</v>
      </c>
      <c r="C18" s="124">
        <f>'Offerta tecnica'!I85</f>
        <v>2</v>
      </c>
      <c r="D18" s="124">
        <f>'Offerta tecnica'!J85</f>
        <v>4</v>
      </c>
      <c r="E18" s="95"/>
      <c r="F18" s="128">
        <f>'Offerta tecnica'!K85</f>
        <v>0</v>
      </c>
      <c r="G18" s="97">
        <f>I7</f>
        <v>0</v>
      </c>
      <c r="H18" s="125"/>
      <c r="J18" s="126">
        <f>IF(G18=0,1,F7/(G18+G19))</f>
        <v>1</v>
      </c>
      <c r="K18" s="99">
        <f>(G18/F7)*J18</f>
        <v>0</v>
      </c>
      <c r="L18" s="112"/>
      <c r="N18" s="113"/>
    </row>
    <row r="19" spans="1:14" ht="28.5" customHeight="1" thickBot="1" x14ac:dyDescent="0.3">
      <c r="A19" s="105" t="s">
        <v>51</v>
      </c>
      <c r="B19" s="123" t="s">
        <v>52</v>
      </c>
      <c r="C19" s="127">
        <f>'Offerta tecnica'!I87</f>
        <v>2</v>
      </c>
      <c r="D19" s="127">
        <f>'Offerta tecnica'!J87</f>
        <v>4</v>
      </c>
      <c r="E19" s="108"/>
      <c r="F19" s="128">
        <f>'Offerta tecnica'!K87</f>
        <v>0</v>
      </c>
      <c r="G19" s="104">
        <f>I8</f>
        <v>0</v>
      </c>
      <c r="H19" s="129"/>
      <c r="J19" s="130"/>
      <c r="K19" s="99">
        <f>G19/F7*J18</f>
        <v>0</v>
      </c>
      <c r="L19" s="112"/>
      <c r="N19" s="113"/>
    </row>
    <row r="20" spans="1:14" x14ac:dyDescent="0.25">
      <c r="A20" s="105"/>
      <c r="B20" s="123"/>
      <c r="C20" s="131"/>
      <c r="D20" s="132"/>
      <c r="E20" s="131"/>
      <c r="F20" s="131"/>
      <c r="G20" s="131"/>
      <c r="H20" s="131"/>
      <c r="I20" s="131"/>
      <c r="J20" s="131"/>
      <c r="K20" s="99"/>
      <c r="L20" s="112"/>
      <c r="N20" s="113"/>
    </row>
    <row r="21" spans="1:14" x14ac:dyDescent="0.25">
      <c r="A21" s="105"/>
      <c r="B21" s="123" t="s">
        <v>53</v>
      </c>
      <c r="C21" s="133" t="s">
        <v>54</v>
      </c>
      <c r="D21" s="349">
        <f>'Offerta tecnica'!F85</f>
        <v>0</v>
      </c>
      <c r="E21" s="349"/>
      <c r="F21" s="349"/>
      <c r="G21" s="349"/>
      <c r="H21" s="349"/>
      <c r="I21" s="349"/>
      <c r="J21" s="132"/>
      <c r="K21" s="99"/>
      <c r="L21" s="112"/>
      <c r="N21" s="113"/>
    </row>
    <row r="22" spans="1:14" x14ac:dyDescent="0.25">
      <c r="A22" s="105"/>
      <c r="B22" s="123" t="s">
        <v>55</v>
      </c>
      <c r="C22" s="133" t="s">
        <v>54</v>
      </c>
      <c r="D22" s="350">
        <f>'Offerta tecnica'!F87</f>
        <v>0</v>
      </c>
      <c r="E22" s="350"/>
      <c r="F22" s="350"/>
      <c r="G22" s="350"/>
      <c r="H22" s="350"/>
      <c r="I22" s="350"/>
      <c r="J22" s="132"/>
      <c r="K22" s="99"/>
      <c r="L22" s="112"/>
      <c r="N22" s="113"/>
    </row>
    <row r="23" spans="1:14" x14ac:dyDescent="0.25">
      <c r="A23" s="105"/>
      <c r="B23" s="123"/>
      <c r="K23" s="113"/>
      <c r="L23" s="112"/>
      <c r="N23" s="113"/>
    </row>
    <row r="24" spans="1:14" ht="15.75" thickBot="1" x14ac:dyDescent="0.3">
      <c r="A24" s="105"/>
      <c r="B24" s="123" t="s">
        <v>210</v>
      </c>
      <c r="C24" s="123"/>
      <c r="D24" s="123"/>
      <c r="E24" s="134">
        <f>(F18*K18)+(F19*K19)</f>
        <v>0</v>
      </c>
      <c r="F24" s="135"/>
      <c r="G24" s="135"/>
      <c r="H24" s="135"/>
      <c r="J24" s="136"/>
      <c r="K24" s="113"/>
      <c r="L24" s="112"/>
      <c r="N24" s="113"/>
    </row>
    <row r="25" spans="1:14" x14ac:dyDescent="0.25">
      <c r="A25" s="112"/>
      <c r="B25" s="95"/>
      <c r="C25" s="96"/>
      <c r="D25" s="96"/>
      <c r="E25" s="137" t="s">
        <v>56</v>
      </c>
      <c r="F25" s="119">
        <f>SUM(F29:F43)</f>
        <v>15</v>
      </c>
      <c r="G25" s="119">
        <f>SUM(G29:G43)</f>
        <v>15</v>
      </c>
      <c r="H25" s="119"/>
      <c r="I25" s="96"/>
      <c r="J25" s="96"/>
      <c r="K25" s="138"/>
      <c r="L25" s="112"/>
      <c r="N25" s="113"/>
    </row>
    <row r="26" spans="1:14" x14ac:dyDescent="0.25">
      <c r="A26" s="112"/>
      <c r="B26" s="112"/>
      <c r="E26" s="139" t="s">
        <v>57</v>
      </c>
      <c r="F26" s="140">
        <f>K18</f>
        <v>0</v>
      </c>
      <c r="G26" s="140">
        <f>K19</f>
        <v>0</v>
      </c>
      <c r="H26" s="140"/>
      <c r="K26" s="113"/>
      <c r="L26" s="112"/>
      <c r="N26" s="113"/>
    </row>
    <row r="27" spans="1:14" x14ac:dyDescent="0.25">
      <c r="A27" s="112"/>
      <c r="B27" s="112"/>
      <c r="E27" s="139" t="s">
        <v>58</v>
      </c>
      <c r="F27" s="141">
        <f>F26*F25</f>
        <v>0</v>
      </c>
      <c r="G27" s="141">
        <f t="shared" ref="G27" si="0">G26*G25</f>
        <v>0</v>
      </c>
      <c r="H27" s="141"/>
      <c r="K27" s="113"/>
      <c r="L27" s="112"/>
      <c r="N27" s="113"/>
    </row>
    <row r="28" spans="1:14" ht="21.75" thickBot="1" x14ac:dyDescent="0.4">
      <c r="A28" s="112"/>
      <c r="B28" s="351" t="s">
        <v>59</v>
      </c>
      <c r="C28" s="352"/>
      <c r="D28" s="352"/>
      <c r="E28" s="352"/>
      <c r="F28" s="215" t="s">
        <v>60</v>
      </c>
      <c r="G28" s="215" t="s">
        <v>61</v>
      </c>
      <c r="H28" s="142"/>
      <c r="I28" s="143" t="s">
        <v>62</v>
      </c>
      <c r="J28" s="143"/>
      <c r="K28" s="144" t="s">
        <v>63</v>
      </c>
      <c r="L28" s="118" t="s">
        <v>44</v>
      </c>
      <c r="M28" s="145">
        <f>SUM(F27:H27)</f>
        <v>0</v>
      </c>
      <c r="N28" s="113"/>
    </row>
    <row r="29" spans="1:14" x14ac:dyDescent="0.25">
      <c r="A29" s="112"/>
      <c r="B29" s="345" t="s">
        <v>64</v>
      </c>
      <c r="C29" s="346"/>
      <c r="D29" s="346"/>
      <c r="E29" s="346"/>
      <c r="F29" s="243">
        <f>IF($F$18&lt;101,1,"--")</f>
        <v>1</v>
      </c>
      <c r="G29" s="244">
        <f>IF($F$19&lt;101,1,"--")</f>
        <v>1</v>
      </c>
      <c r="H29" s="74"/>
      <c r="I29" s="146">
        <v>15</v>
      </c>
      <c r="J29" s="146"/>
      <c r="K29" s="147">
        <f>E24</f>
        <v>0</v>
      </c>
      <c r="L29" s="112"/>
      <c r="N29" s="113"/>
    </row>
    <row r="30" spans="1:14" x14ac:dyDescent="0.25">
      <c r="A30" s="112"/>
      <c r="B30" s="345" t="s">
        <v>65</v>
      </c>
      <c r="C30" s="346"/>
      <c r="D30" s="346"/>
      <c r="E30" s="346"/>
      <c r="F30" s="245">
        <f>IF($F$18&lt;201,1,"--")</f>
        <v>1</v>
      </c>
      <c r="G30" s="246">
        <f>IF($F$19&lt;201,1,"--")</f>
        <v>1</v>
      </c>
      <c r="H30" s="74"/>
      <c r="I30" s="146">
        <v>14</v>
      </c>
      <c r="J30" s="146"/>
      <c r="K30" s="113"/>
      <c r="L30" s="112"/>
      <c r="N30" s="113"/>
    </row>
    <row r="31" spans="1:14" x14ac:dyDescent="0.25">
      <c r="A31" s="112"/>
      <c r="B31" s="345" t="s">
        <v>66</v>
      </c>
      <c r="C31" s="346"/>
      <c r="D31" s="346"/>
      <c r="E31" s="346"/>
      <c r="F31" s="245">
        <f>IF($F$18&lt;301,1,"--")</f>
        <v>1</v>
      </c>
      <c r="G31" s="246">
        <f>IF($F$19&lt;301,1,"--")</f>
        <v>1</v>
      </c>
      <c r="H31" s="74"/>
      <c r="I31" s="146">
        <v>13</v>
      </c>
      <c r="J31" s="146"/>
      <c r="K31" s="113"/>
      <c r="L31" s="112"/>
      <c r="N31" s="113"/>
    </row>
    <row r="32" spans="1:14" x14ac:dyDescent="0.25">
      <c r="A32" s="112"/>
      <c r="B32" s="345" t="s">
        <v>67</v>
      </c>
      <c r="C32" s="346"/>
      <c r="D32" s="346"/>
      <c r="E32" s="346"/>
      <c r="F32" s="245">
        <f>IF($F$18&lt;401,1,"--")</f>
        <v>1</v>
      </c>
      <c r="G32" s="246">
        <f>IF($F$19&lt;401,1,"--")</f>
        <v>1</v>
      </c>
      <c r="H32" s="74"/>
      <c r="I32" s="146">
        <v>12</v>
      </c>
      <c r="J32" s="146"/>
      <c r="K32" s="113"/>
      <c r="L32" s="112"/>
      <c r="N32" s="113"/>
    </row>
    <row r="33" spans="1:14" ht="15.75" thickBot="1" x14ac:dyDescent="0.3">
      <c r="A33" s="112"/>
      <c r="B33" s="345" t="s">
        <v>68</v>
      </c>
      <c r="C33" s="346"/>
      <c r="D33" s="346"/>
      <c r="E33" s="346"/>
      <c r="F33" s="247">
        <f>IF($F$18&lt;501,1,"--")</f>
        <v>1</v>
      </c>
      <c r="G33" s="248">
        <f>IF($F$19&lt;501,1,"--")</f>
        <v>1</v>
      </c>
      <c r="H33" s="74"/>
      <c r="I33" s="146">
        <v>11</v>
      </c>
      <c r="J33" s="146"/>
      <c r="K33" s="113"/>
      <c r="L33" s="112"/>
      <c r="N33" s="113"/>
    </row>
    <row r="34" spans="1:14" ht="15.75" thickBot="1" x14ac:dyDescent="0.3">
      <c r="A34" s="112"/>
      <c r="B34" s="345" t="s">
        <v>69</v>
      </c>
      <c r="C34" s="346"/>
      <c r="D34" s="346"/>
      <c r="E34" s="346"/>
      <c r="F34" s="249">
        <f>IF(($F$18/1000)&lt;(C18+0.001),1,"--")</f>
        <v>1</v>
      </c>
      <c r="G34" s="250">
        <f>IF(($F$19/1000)&lt;(C19+0.001),1,"--")</f>
        <v>1</v>
      </c>
      <c r="H34" s="74"/>
      <c r="I34" s="146">
        <v>10</v>
      </c>
      <c r="J34" s="146"/>
      <c r="K34" s="113"/>
      <c r="L34" s="112"/>
      <c r="N34" s="113"/>
    </row>
    <row r="35" spans="1:14" x14ac:dyDescent="0.25">
      <c r="A35" s="112"/>
      <c r="B35" s="345" t="s">
        <v>177</v>
      </c>
      <c r="C35" s="346"/>
      <c r="D35" s="346"/>
      <c r="E35" s="346"/>
      <c r="F35" s="216">
        <f>IF(($F$18-1)&lt;H35,1,"--")</f>
        <v>1</v>
      </c>
      <c r="G35" s="216">
        <f>IF($F$19&lt;H35,1,"--")</f>
        <v>1</v>
      </c>
      <c r="H35" s="217">
        <f>($C$18*1000) +($C$18*1000*0.1)</f>
        <v>2200</v>
      </c>
      <c r="I35" s="146">
        <v>9</v>
      </c>
      <c r="J35" s="146"/>
      <c r="K35" s="113"/>
      <c r="L35" s="112"/>
      <c r="N35" s="113"/>
    </row>
    <row r="36" spans="1:14" x14ac:dyDescent="0.25">
      <c r="A36" s="112"/>
      <c r="B36" s="345" t="s">
        <v>178</v>
      </c>
      <c r="C36" s="346"/>
      <c r="D36" s="346"/>
      <c r="E36" s="346"/>
      <c r="F36" s="216">
        <f t="shared" ref="F36:F42" si="1">IF(($F$18-1)&lt;H36,1,"--")</f>
        <v>1</v>
      </c>
      <c r="G36" s="216">
        <f>IF(($F$19-1)&lt;H36,1,"--")</f>
        <v>1</v>
      </c>
      <c r="H36" s="217">
        <f>($C$18*1000) +($C$18*1000*0.2)</f>
        <v>2400</v>
      </c>
      <c r="I36" s="146">
        <v>8</v>
      </c>
      <c r="J36" s="146"/>
      <c r="K36" s="113"/>
      <c r="L36" s="112"/>
      <c r="N36" s="113"/>
    </row>
    <row r="37" spans="1:14" x14ac:dyDescent="0.25">
      <c r="A37" s="112"/>
      <c r="B37" s="345" t="s">
        <v>179</v>
      </c>
      <c r="C37" s="346"/>
      <c r="D37" s="346"/>
      <c r="E37" s="346"/>
      <c r="F37" s="216">
        <f t="shared" si="1"/>
        <v>1</v>
      </c>
      <c r="G37" s="216">
        <f t="shared" ref="G37:G42" si="2">IF(($F$19-1)&lt;H37,1,"--")</f>
        <v>1</v>
      </c>
      <c r="H37" s="217">
        <f>($C$18*1000) +($C$18*1000*0.3)</f>
        <v>2600</v>
      </c>
      <c r="I37" s="146">
        <v>7</v>
      </c>
      <c r="J37" s="146"/>
      <c r="K37" s="113"/>
      <c r="L37" s="112"/>
      <c r="N37" s="113"/>
    </row>
    <row r="38" spans="1:14" x14ac:dyDescent="0.25">
      <c r="A38" s="112"/>
      <c r="B38" s="345" t="s">
        <v>180</v>
      </c>
      <c r="C38" s="346"/>
      <c r="D38" s="346"/>
      <c r="E38" s="346"/>
      <c r="F38" s="216">
        <f t="shared" si="1"/>
        <v>1</v>
      </c>
      <c r="G38" s="216">
        <f t="shared" si="2"/>
        <v>1</v>
      </c>
      <c r="H38" s="217">
        <f>($C$18*1000) +($C$18*1000*0.4)</f>
        <v>2800</v>
      </c>
      <c r="I38" s="146">
        <v>6</v>
      </c>
      <c r="J38" s="146"/>
      <c r="K38" s="113"/>
      <c r="L38" s="112"/>
      <c r="N38" s="113"/>
    </row>
    <row r="39" spans="1:14" x14ac:dyDescent="0.25">
      <c r="A39" s="112"/>
      <c r="B39" s="345" t="s">
        <v>181</v>
      </c>
      <c r="C39" s="346"/>
      <c r="D39" s="346"/>
      <c r="E39" s="346"/>
      <c r="F39" s="216">
        <f t="shared" si="1"/>
        <v>1</v>
      </c>
      <c r="G39" s="216">
        <f t="shared" si="2"/>
        <v>1</v>
      </c>
      <c r="H39" s="217">
        <f>($C$18*1000) +($C$18*1000*0.5)</f>
        <v>3000</v>
      </c>
      <c r="I39" s="146">
        <v>5</v>
      </c>
      <c r="J39" s="146"/>
      <c r="K39" s="113"/>
      <c r="L39" s="112"/>
      <c r="N39" s="113"/>
    </row>
    <row r="40" spans="1:14" x14ac:dyDescent="0.25">
      <c r="A40" s="112"/>
      <c r="B40" s="345" t="s">
        <v>182</v>
      </c>
      <c r="C40" s="346"/>
      <c r="D40" s="346"/>
      <c r="E40" s="346"/>
      <c r="F40" s="216">
        <f t="shared" si="1"/>
        <v>1</v>
      </c>
      <c r="G40" s="216">
        <f t="shared" si="2"/>
        <v>1</v>
      </c>
      <c r="H40" s="217">
        <f>($C$18*1000) +($C$18*1000*0.6)</f>
        <v>3200</v>
      </c>
      <c r="I40" s="146">
        <v>4</v>
      </c>
      <c r="J40" s="146"/>
      <c r="K40" s="113"/>
      <c r="L40" s="112"/>
      <c r="N40" s="113"/>
    </row>
    <row r="41" spans="1:14" x14ac:dyDescent="0.25">
      <c r="A41" s="112"/>
      <c r="B41" s="345" t="s">
        <v>183</v>
      </c>
      <c r="C41" s="346"/>
      <c r="D41" s="346"/>
      <c r="E41" s="346"/>
      <c r="F41" s="216">
        <f t="shared" si="1"/>
        <v>1</v>
      </c>
      <c r="G41" s="216">
        <f t="shared" si="2"/>
        <v>1</v>
      </c>
      <c r="H41" s="217">
        <f>($C$18*1000) +($C$18*1000*0.7)</f>
        <v>3400</v>
      </c>
      <c r="I41" s="146">
        <v>3</v>
      </c>
      <c r="J41" s="146"/>
      <c r="K41" s="113"/>
      <c r="L41" s="112"/>
      <c r="N41" s="113"/>
    </row>
    <row r="42" spans="1:14" x14ac:dyDescent="0.25">
      <c r="A42" s="112"/>
      <c r="B42" s="345" t="s">
        <v>184</v>
      </c>
      <c r="C42" s="346"/>
      <c r="D42" s="346"/>
      <c r="E42" s="346"/>
      <c r="F42" s="216">
        <f t="shared" si="1"/>
        <v>1</v>
      </c>
      <c r="G42" s="216">
        <f t="shared" si="2"/>
        <v>1</v>
      </c>
      <c r="H42" s="217">
        <f>($C$18*1000) +($C$18*1000*0.8)</f>
        <v>3600</v>
      </c>
      <c r="I42" s="146">
        <v>2</v>
      </c>
      <c r="J42" s="146"/>
      <c r="K42" s="113"/>
      <c r="L42" s="112"/>
      <c r="N42" s="113"/>
    </row>
    <row r="43" spans="1:14" ht="15.75" thickBot="1" x14ac:dyDescent="0.3">
      <c r="A43" s="112"/>
      <c r="B43" s="357" t="s">
        <v>70</v>
      </c>
      <c r="C43" s="358"/>
      <c r="D43" s="358"/>
      <c r="E43" s="358"/>
      <c r="F43" s="219">
        <v>1</v>
      </c>
      <c r="G43" s="219">
        <v>1</v>
      </c>
      <c r="H43" s="218"/>
      <c r="I43" s="148">
        <v>1</v>
      </c>
      <c r="J43" s="148"/>
      <c r="K43" s="149"/>
      <c r="L43" s="112"/>
      <c r="N43" s="113"/>
    </row>
    <row r="44" spans="1:14" ht="15.75" thickBot="1" x14ac:dyDescent="0.3">
      <c r="A44" s="112"/>
      <c r="K44" s="113"/>
      <c r="L44" s="112"/>
      <c r="N44" s="113"/>
    </row>
    <row r="45" spans="1:14" ht="24" thickBot="1" x14ac:dyDescent="0.4">
      <c r="A45" s="150" t="s">
        <v>71</v>
      </c>
      <c r="B45" s="151" t="s">
        <v>72</v>
      </c>
      <c r="C45" s="96"/>
      <c r="D45" s="96"/>
      <c r="E45" s="96"/>
      <c r="F45" s="96"/>
      <c r="G45" s="137" t="s">
        <v>164</v>
      </c>
      <c r="H45" s="152">
        <f>IF('Offerta tecnica'!E87="//////",0,1)</f>
        <v>0</v>
      </c>
      <c r="I45" s="153" t="s">
        <v>73</v>
      </c>
      <c r="J45" s="153" t="s">
        <v>158</v>
      </c>
      <c r="K45" s="154" t="s">
        <v>159</v>
      </c>
      <c r="L45" s="118" t="s">
        <v>44</v>
      </c>
      <c r="M45" s="145">
        <f>IF(H45=0,SUM(J46:J50),SUM(J46:K50)/2)</f>
        <v>4</v>
      </c>
      <c r="N45" s="113"/>
    </row>
    <row r="46" spans="1:14" ht="23.25" x14ac:dyDescent="0.35">
      <c r="A46" s="150" t="s">
        <v>49</v>
      </c>
      <c r="B46" s="359" t="s">
        <v>74</v>
      </c>
      <c r="C46" s="360"/>
      <c r="D46" s="360"/>
      <c r="E46" s="360"/>
      <c r="F46" s="360"/>
      <c r="G46" s="360"/>
      <c r="H46" s="361"/>
      <c r="I46" s="155">
        <v>2</v>
      </c>
      <c r="J46" s="156">
        <f>IF('Offerta tecnica'!L85="Autorimessa coperta, chiusa e riscaldata",2,"0")+IF('Offerta tecnica'!L85="Autorimessa coperta, chiusa e non riscaldata",1,"0")</f>
        <v>1</v>
      </c>
      <c r="K46" s="157">
        <f>IF('Offerta tecnica'!L87="Autorimessa coperta, chiusa e riscaldata",2,"0")+IF('Offerta tecnica'!L87="Autorimessa coperta, chiusa e non riscaldata",1,"0")</f>
        <v>1</v>
      </c>
      <c r="L46" s="112"/>
      <c r="N46" s="113"/>
    </row>
    <row r="47" spans="1:14" ht="15.75" thickBot="1" x14ac:dyDescent="0.3">
      <c r="A47" s="112" t="s">
        <v>75</v>
      </c>
      <c r="B47" s="357" t="s">
        <v>76</v>
      </c>
      <c r="C47" s="362"/>
      <c r="D47" s="362"/>
      <c r="E47" s="362"/>
      <c r="F47" s="362"/>
      <c r="G47" s="362"/>
      <c r="H47" s="363"/>
      <c r="I47" s="158">
        <v>1</v>
      </c>
      <c r="J47" s="159"/>
      <c r="K47" s="160"/>
      <c r="L47" s="112"/>
      <c r="N47" s="113"/>
    </row>
    <row r="48" spans="1:14" ht="15.75" thickBot="1" x14ac:dyDescent="0.3">
      <c r="A48" s="112"/>
      <c r="B48" s="355" t="s">
        <v>77</v>
      </c>
      <c r="C48" s="356"/>
      <c r="D48" s="356"/>
      <c r="E48" s="356"/>
      <c r="F48" s="356"/>
      <c r="G48" s="356"/>
      <c r="H48" s="356"/>
      <c r="I48" s="161">
        <v>1</v>
      </c>
      <c r="J48" s="162">
        <f>IF('Offerta tecnica'!M85="si",1,0)</f>
        <v>1</v>
      </c>
      <c r="K48" s="163">
        <f>IF('Offerta tecnica'!M87="si",1,0)</f>
        <v>1</v>
      </c>
      <c r="L48" s="112"/>
      <c r="N48" s="113"/>
    </row>
    <row r="49" spans="1:14" ht="15.75" thickBot="1" x14ac:dyDescent="0.3">
      <c r="A49" s="112"/>
      <c r="B49" s="355" t="s">
        <v>78</v>
      </c>
      <c r="C49" s="356"/>
      <c r="D49" s="356"/>
      <c r="E49" s="356"/>
      <c r="F49" s="356"/>
      <c r="G49" s="356"/>
      <c r="H49" s="356"/>
      <c r="I49" s="161">
        <v>1</v>
      </c>
      <c r="J49" s="162">
        <f>IF('Offerta tecnica'!N85="si",1,0)</f>
        <v>1</v>
      </c>
      <c r="K49" s="163">
        <f>IF('Offerta tecnica'!N87="si",1,0)</f>
        <v>1</v>
      </c>
      <c r="L49" s="112"/>
      <c r="N49" s="113"/>
    </row>
    <row r="50" spans="1:14" ht="15.75" thickBot="1" x14ac:dyDescent="0.3">
      <c r="A50" s="102"/>
      <c r="B50" s="355" t="s">
        <v>79</v>
      </c>
      <c r="C50" s="356"/>
      <c r="D50" s="356"/>
      <c r="E50" s="356"/>
      <c r="F50" s="356"/>
      <c r="G50" s="356"/>
      <c r="H50" s="356"/>
      <c r="I50" s="161">
        <v>1</v>
      </c>
      <c r="J50" s="162">
        <f>IF('Offerta tecnica'!O85="si",1,0)</f>
        <v>1</v>
      </c>
      <c r="K50" s="163">
        <f>IF('Offerta tecnica'!O87="si",1,0)</f>
        <v>1</v>
      </c>
      <c r="L50" s="112"/>
      <c r="N50" s="113"/>
    </row>
    <row r="51" spans="1:14" ht="15.75" thickBot="1" x14ac:dyDescent="0.3">
      <c r="A51" s="112"/>
      <c r="K51" s="113"/>
      <c r="L51" s="112"/>
      <c r="N51" s="113"/>
    </row>
    <row r="52" spans="1:14" ht="60.75" thickBot="1" x14ac:dyDescent="0.3">
      <c r="A52" s="88"/>
      <c r="B52" s="164"/>
      <c r="C52" s="120" t="s">
        <v>34</v>
      </c>
      <c r="D52" s="120" t="s">
        <v>35</v>
      </c>
      <c r="E52" s="120" t="s">
        <v>80</v>
      </c>
      <c r="F52" s="120" t="s">
        <v>81</v>
      </c>
      <c r="G52" s="120" t="s">
        <v>82</v>
      </c>
      <c r="H52" s="120"/>
      <c r="I52" s="120"/>
      <c r="J52" s="120"/>
      <c r="K52" s="165"/>
      <c r="L52" s="112"/>
      <c r="N52" s="113"/>
    </row>
    <row r="53" spans="1:14" ht="23.25" x14ac:dyDescent="0.35">
      <c r="A53" s="166" t="s">
        <v>84</v>
      </c>
      <c r="B53" s="167" t="str">
        <f t="shared" ref="B53:B59" si="3">B7</f>
        <v>SO-03/C1</v>
      </c>
      <c r="C53" s="168">
        <f t="shared" ref="C53:C59" si="4">F7</f>
        <v>14965</v>
      </c>
      <c r="D53" s="95" t="s">
        <v>40</v>
      </c>
      <c r="E53" s="169">
        <f>'Offerta tecnica'!F54</f>
        <v>0</v>
      </c>
      <c r="F53" s="170">
        <f>'Offerta tecnica'!G54</f>
        <v>0</v>
      </c>
      <c r="G53" s="171">
        <f>'Offerta tecnica'!I54</f>
        <v>0</v>
      </c>
      <c r="H53" s="172"/>
      <c r="I53" s="173"/>
      <c r="J53" s="174"/>
      <c r="K53" s="175"/>
      <c r="L53" s="112"/>
      <c r="N53" s="113"/>
    </row>
    <row r="54" spans="1:14" ht="19.5" customHeight="1" thickBot="1" x14ac:dyDescent="0.3">
      <c r="A54" s="112" t="s">
        <v>85</v>
      </c>
      <c r="B54" s="176"/>
      <c r="C54" s="177"/>
      <c r="D54" s="102"/>
      <c r="E54" s="178">
        <f>'Offerta tecnica'!F56</f>
        <v>0</v>
      </c>
      <c r="F54" s="179">
        <f>'Offerta tecnica'!G56</f>
        <v>0</v>
      </c>
      <c r="G54" s="180">
        <f>'Offerta tecnica'!I56</f>
        <v>0</v>
      </c>
      <c r="H54" s="181"/>
      <c r="I54" s="182"/>
      <c r="J54" s="183"/>
      <c r="K54" s="184"/>
      <c r="L54" s="112"/>
      <c r="N54" s="113"/>
    </row>
    <row r="55" spans="1:14" ht="15.75" thickBot="1" x14ac:dyDescent="0.3">
      <c r="A55" s="105"/>
      <c r="B55" s="167">
        <f t="shared" si="3"/>
        <v>0</v>
      </c>
      <c r="C55" s="185" t="str">
        <f t="shared" si="4"/>
        <v>//////</v>
      </c>
      <c r="D55" s="108" t="s">
        <v>42</v>
      </c>
      <c r="E55" s="186">
        <f>'Offerta tecnica'!F57</f>
        <v>0</v>
      </c>
      <c r="F55" s="187">
        <f>'Offerta tecnica'!G57</f>
        <v>0</v>
      </c>
      <c r="G55" s="188">
        <f>'Offerta tecnica'!I57</f>
        <v>0</v>
      </c>
      <c r="H55" s="181"/>
      <c r="I55" s="182"/>
      <c r="J55" s="183"/>
      <c r="K55" s="184"/>
      <c r="L55" s="112"/>
      <c r="N55" s="113"/>
    </row>
    <row r="56" spans="1:14" ht="15.75" thickBot="1" x14ac:dyDescent="0.3">
      <c r="A56" s="105"/>
      <c r="B56" s="167">
        <f t="shared" si="3"/>
        <v>0</v>
      </c>
      <c r="C56" s="185" t="str">
        <f t="shared" si="4"/>
        <v>//////</v>
      </c>
      <c r="D56" s="108" t="s">
        <v>42</v>
      </c>
      <c r="E56" s="186">
        <f>'Offerta tecnica'!F59</f>
        <v>0</v>
      </c>
      <c r="F56" s="187">
        <f>'Offerta tecnica'!G59</f>
        <v>0</v>
      </c>
      <c r="G56" s="188">
        <f>'Offerta tecnica'!I59</f>
        <v>0</v>
      </c>
      <c r="H56" s="181"/>
      <c r="I56" s="182"/>
      <c r="J56" s="183"/>
      <c r="K56" s="184"/>
      <c r="L56" s="112"/>
      <c r="N56" s="113"/>
    </row>
    <row r="57" spans="1:14" ht="15.75" thickBot="1" x14ac:dyDescent="0.3">
      <c r="A57" s="105"/>
      <c r="B57" s="167">
        <f t="shared" si="3"/>
        <v>0</v>
      </c>
      <c r="C57" s="185" t="str">
        <f t="shared" si="4"/>
        <v>//////</v>
      </c>
      <c r="D57" s="108"/>
      <c r="E57" s="186">
        <f>'Offerta tecnica'!F61</f>
        <v>0</v>
      </c>
      <c r="F57" s="187">
        <f>'Offerta tecnica'!G61</f>
        <v>0</v>
      </c>
      <c r="G57" s="188">
        <f>'Offerta tecnica'!I61</f>
        <v>0</v>
      </c>
      <c r="H57" s="181"/>
      <c r="I57" s="182"/>
      <c r="J57" s="183"/>
      <c r="K57" s="184"/>
      <c r="L57" s="112"/>
      <c r="N57" s="113"/>
    </row>
    <row r="58" spans="1:14" ht="15.75" thickBot="1" x14ac:dyDescent="0.3">
      <c r="A58" s="105"/>
      <c r="B58" s="167">
        <f t="shared" si="3"/>
        <v>0</v>
      </c>
      <c r="C58" s="185" t="str">
        <f t="shared" si="4"/>
        <v>//////</v>
      </c>
      <c r="D58" s="108"/>
      <c r="E58" s="186">
        <f>'Offerta tecnica'!F63</f>
        <v>0</v>
      </c>
      <c r="F58" s="187">
        <f>'Offerta tecnica'!G63</f>
        <v>0</v>
      </c>
      <c r="G58" s="188">
        <f>'Offerta tecnica'!I63</f>
        <v>0</v>
      </c>
      <c r="H58" s="181"/>
      <c r="I58" s="182"/>
      <c r="J58" s="183"/>
      <c r="K58" s="184"/>
      <c r="L58" s="112"/>
      <c r="N58" s="113"/>
    </row>
    <row r="59" spans="1:14" ht="15.75" thickBot="1" x14ac:dyDescent="0.3">
      <c r="A59" s="105"/>
      <c r="B59" s="189">
        <f t="shared" si="3"/>
        <v>0</v>
      </c>
      <c r="C59" s="185" t="str">
        <f t="shared" si="4"/>
        <v>//////</v>
      </c>
      <c r="D59" s="108" t="s">
        <v>42</v>
      </c>
      <c r="E59" s="186">
        <f>'Offerta tecnica'!F65</f>
        <v>0</v>
      </c>
      <c r="F59" s="187">
        <f>'Offerta tecnica'!G65</f>
        <v>0</v>
      </c>
      <c r="G59" s="188">
        <f>'Offerta tecnica'!I65</f>
        <v>0</v>
      </c>
      <c r="H59" s="190"/>
      <c r="I59" s="191"/>
      <c r="J59" s="192"/>
      <c r="K59" s="193"/>
      <c r="L59" s="112"/>
      <c r="N59" s="113"/>
    </row>
    <row r="60" spans="1:14" ht="15.75" thickBot="1" x14ac:dyDescent="0.3">
      <c r="A60" s="105"/>
      <c r="B60" s="112"/>
      <c r="E60" s="75" t="s">
        <v>44</v>
      </c>
      <c r="F60" s="75" t="s">
        <v>86</v>
      </c>
      <c r="G60" s="75" t="s">
        <v>58</v>
      </c>
      <c r="K60" s="113"/>
      <c r="L60" s="112"/>
      <c r="N60" s="113"/>
    </row>
    <row r="61" spans="1:14" ht="15.75" thickBot="1" x14ac:dyDescent="0.3">
      <c r="A61" s="105"/>
      <c r="B61" s="194" t="str">
        <f t="shared" ref="B61:B67" si="5">B53</f>
        <v>SO-03/C1</v>
      </c>
      <c r="C61" s="168"/>
      <c r="D61" s="95" t="s">
        <v>160</v>
      </c>
      <c r="E61" s="197">
        <f t="shared" ref="E61:E67" si="6">IF(F53=0,0,IF(F53&lt;30001,10,IF(F53&lt;60001,8,IF(F53&lt;105001,6,IF(F53&lt;157501,4,IF(F53&lt;180001,2,0))))))</f>
        <v>0</v>
      </c>
      <c r="F61" s="237">
        <f>IF($H$45=0,C53/$C$68,C53/($C$68*2))</f>
        <v>1</v>
      </c>
      <c r="G61" s="195">
        <f>F61*E61</f>
        <v>0</v>
      </c>
      <c r="H61" s="364" t="s">
        <v>194</v>
      </c>
      <c r="I61" s="365"/>
      <c r="J61" s="365"/>
      <c r="K61" s="113"/>
      <c r="L61" s="112"/>
      <c r="N61" s="113"/>
    </row>
    <row r="62" spans="1:14" ht="15.75" thickBot="1" x14ac:dyDescent="0.3">
      <c r="A62" s="105"/>
      <c r="B62" s="196">
        <f t="shared" si="5"/>
        <v>0</v>
      </c>
      <c r="C62" s="177"/>
      <c r="D62" s="102" t="s">
        <v>161</v>
      </c>
      <c r="E62" s="197">
        <f t="shared" si="6"/>
        <v>0</v>
      </c>
      <c r="F62" s="237">
        <f>IF($H$45=0,C53/$C$68,C53/($C$68*2))</f>
        <v>1</v>
      </c>
      <c r="G62" s="199">
        <f t="shared" ref="G62:G67" si="7">F62*E62</f>
        <v>0</v>
      </c>
      <c r="H62" s="364"/>
      <c r="I62" s="365"/>
      <c r="J62" s="365"/>
      <c r="K62" s="113"/>
      <c r="L62" s="112"/>
      <c r="N62" s="113"/>
    </row>
    <row r="63" spans="1:14" ht="15.75" thickBot="1" x14ac:dyDescent="0.3">
      <c r="A63" s="105"/>
      <c r="B63" s="194">
        <f t="shared" si="5"/>
        <v>0</v>
      </c>
      <c r="C63" s="185"/>
      <c r="D63" s="108" t="s">
        <v>87</v>
      </c>
      <c r="E63" s="197">
        <f t="shared" si="6"/>
        <v>0</v>
      </c>
      <c r="F63" s="198">
        <f t="shared" ref="F63:F67" si="8">IF(C55="//////",0,C55/$C$68)</f>
        <v>0</v>
      </c>
      <c r="G63" s="200">
        <f t="shared" si="7"/>
        <v>0</v>
      </c>
      <c r="K63" s="113"/>
      <c r="L63" s="112"/>
      <c r="N63" s="113"/>
    </row>
    <row r="64" spans="1:14" ht="15.75" thickBot="1" x14ac:dyDescent="0.3">
      <c r="A64" s="105"/>
      <c r="B64" s="194">
        <f t="shared" si="5"/>
        <v>0</v>
      </c>
      <c r="C64" s="185"/>
      <c r="D64" s="108" t="s">
        <v>88</v>
      </c>
      <c r="E64" s="197">
        <f t="shared" si="6"/>
        <v>0</v>
      </c>
      <c r="F64" s="198">
        <f t="shared" si="8"/>
        <v>0</v>
      </c>
      <c r="G64" s="199">
        <f t="shared" si="7"/>
        <v>0</v>
      </c>
      <c r="K64" s="113"/>
      <c r="L64" s="112"/>
      <c r="N64" s="113"/>
    </row>
    <row r="65" spans="1:14" ht="15.75" thickBot="1" x14ac:dyDescent="0.3">
      <c r="A65" s="105"/>
      <c r="B65" s="194">
        <f t="shared" si="5"/>
        <v>0</v>
      </c>
      <c r="C65" s="185"/>
      <c r="D65" s="108" t="s">
        <v>89</v>
      </c>
      <c r="E65" s="197">
        <f t="shared" si="6"/>
        <v>0</v>
      </c>
      <c r="F65" s="198">
        <f t="shared" si="8"/>
        <v>0</v>
      </c>
      <c r="G65" s="199">
        <f t="shared" si="7"/>
        <v>0</v>
      </c>
      <c r="K65" s="113"/>
      <c r="L65" s="112"/>
      <c r="N65" s="113"/>
    </row>
    <row r="66" spans="1:14" ht="15.75" thickBot="1" x14ac:dyDescent="0.3">
      <c r="A66" s="105"/>
      <c r="B66" s="194">
        <f t="shared" si="5"/>
        <v>0</v>
      </c>
      <c r="C66" s="185"/>
      <c r="D66" s="108" t="s">
        <v>162</v>
      </c>
      <c r="E66" s="197">
        <f t="shared" si="6"/>
        <v>0</v>
      </c>
      <c r="F66" s="198">
        <f t="shared" si="8"/>
        <v>0</v>
      </c>
      <c r="G66" s="199">
        <f t="shared" si="7"/>
        <v>0</v>
      </c>
      <c r="K66" s="113"/>
      <c r="L66" s="112"/>
      <c r="N66" s="113"/>
    </row>
    <row r="67" spans="1:14" ht="15.75" thickBot="1" x14ac:dyDescent="0.3">
      <c r="A67" s="105"/>
      <c r="B67" s="189">
        <f t="shared" si="5"/>
        <v>0</v>
      </c>
      <c r="C67" s="185"/>
      <c r="D67" s="108" t="s">
        <v>163</v>
      </c>
      <c r="E67" s="201">
        <f t="shared" si="6"/>
        <v>0</v>
      </c>
      <c r="F67" s="202">
        <f t="shared" si="8"/>
        <v>0</v>
      </c>
      <c r="G67" s="203">
        <f t="shared" si="7"/>
        <v>0</v>
      </c>
      <c r="K67" s="113"/>
      <c r="L67" s="112"/>
      <c r="N67" s="113"/>
    </row>
    <row r="68" spans="1:14" ht="24" thickBot="1" x14ac:dyDescent="0.4">
      <c r="A68" s="129"/>
      <c r="B68" s="100" t="s">
        <v>43</v>
      </c>
      <c r="C68" s="116">
        <f>SUM(C53:C59)</f>
        <v>14965</v>
      </c>
      <c r="D68" s="114"/>
      <c r="E68" s="115"/>
      <c r="F68" s="204" t="s">
        <v>90</v>
      </c>
      <c r="G68" s="205">
        <f>SUM(G61:G65)</f>
        <v>0</v>
      </c>
      <c r="H68" s="116"/>
      <c r="I68" s="116"/>
      <c r="J68" s="116"/>
      <c r="K68" s="117"/>
      <c r="L68" s="118" t="s">
        <v>44</v>
      </c>
      <c r="M68" s="231">
        <f>G68</f>
        <v>0</v>
      </c>
      <c r="N68" s="113"/>
    </row>
    <row r="69" spans="1:14" x14ac:dyDescent="0.25">
      <c r="A69" s="95"/>
      <c r="B69" s="206" t="s">
        <v>91</v>
      </c>
      <c r="C69" s="96"/>
      <c r="D69" s="96"/>
      <c r="E69" s="138"/>
      <c r="F69" s="95"/>
      <c r="G69" s="96"/>
      <c r="H69" s="96"/>
      <c r="I69" s="96"/>
      <c r="J69" s="96"/>
      <c r="K69" s="138"/>
      <c r="L69" s="112"/>
      <c r="N69" s="113"/>
    </row>
    <row r="70" spans="1:14" x14ac:dyDescent="0.25">
      <c r="A70" s="112"/>
      <c r="B70" s="123"/>
      <c r="E70" s="113"/>
      <c r="F70" s="222"/>
      <c r="K70" s="113"/>
      <c r="L70" s="112"/>
      <c r="N70" s="113"/>
    </row>
    <row r="71" spans="1:14" ht="19.5" thickBot="1" x14ac:dyDescent="0.35">
      <c r="A71" s="112"/>
      <c r="B71" s="123" t="s">
        <v>92</v>
      </c>
      <c r="E71" s="113"/>
      <c r="F71" s="236" t="s">
        <v>192</v>
      </c>
      <c r="G71" s="220"/>
      <c r="H71" s="220"/>
      <c r="I71" s="220"/>
      <c r="J71" s="220"/>
      <c r="K71" s="223"/>
      <c r="L71" s="112"/>
      <c r="N71" s="113"/>
    </row>
    <row r="72" spans="1:14" ht="29.25" x14ac:dyDescent="0.25">
      <c r="A72" s="112"/>
      <c r="B72" s="207" t="s">
        <v>93</v>
      </c>
      <c r="C72" s="208" t="s">
        <v>94</v>
      </c>
      <c r="E72" s="113"/>
      <c r="F72" s="112"/>
      <c r="K72" s="113"/>
      <c r="L72" s="112"/>
      <c r="N72" s="113"/>
    </row>
    <row r="73" spans="1:14" ht="16.5" x14ac:dyDescent="0.3">
      <c r="A73" s="112"/>
      <c r="B73" s="209" t="s">
        <v>95</v>
      </c>
      <c r="C73" s="210">
        <v>10</v>
      </c>
      <c r="E73" s="113"/>
      <c r="F73" s="112"/>
      <c r="K73" s="113"/>
      <c r="L73" s="112"/>
      <c r="N73" s="113"/>
    </row>
    <row r="74" spans="1:14" ht="16.5" x14ac:dyDescent="0.3">
      <c r="A74" s="112"/>
      <c r="B74" s="209" t="s">
        <v>96</v>
      </c>
      <c r="C74" s="210">
        <v>8</v>
      </c>
      <c r="E74" s="113"/>
      <c r="F74" s="112"/>
      <c r="G74" s="220"/>
      <c r="H74" s="220"/>
      <c r="I74" s="220"/>
      <c r="J74" s="220"/>
      <c r="K74" s="223"/>
      <c r="L74" s="112"/>
      <c r="N74" s="113"/>
    </row>
    <row r="75" spans="1:14" ht="16.5" x14ac:dyDescent="0.3">
      <c r="A75" s="112"/>
      <c r="B75" s="209" t="s">
        <v>97</v>
      </c>
      <c r="C75" s="210">
        <v>6</v>
      </c>
      <c r="E75" s="113"/>
      <c r="F75" s="112"/>
      <c r="K75" s="113"/>
      <c r="L75" s="112"/>
      <c r="N75" s="113"/>
    </row>
    <row r="76" spans="1:14" ht="16.5" x14ac:dyDescent="0.3">
      <c r="A76" s="112"/>
      <c r="B76" s="209" t="s">
        <v>98</v>
      </c>
      <c r="C76" s="210">
        <v>4</v>
      </c>
      <c r="E76" s="113"/>
      <c r="F76" s="112"/>
      <c r="K76" s="113"/>
      <c r="L76" s="112"/>
      <c r="N76" s="113"/>
    </row>
    <row r="77" spans="1:14" ht="16.5" x14ac:dyDescent="0.3">
      <c r="A77" s="112"/>
      <c r="B77" s="209" t="s">
        <v>99</v>
      </c>
      <c r="C77" s="210">
        <v>2</v>
      </c>
      <c r="E77" s="113"/>
      <c r="F77" s="112"/>
      <c r="G77" s="220"/>
      <c r="H77" s="220"/>
      <c r="I77" s="220"/>
      <c r="J77" s="220"/>
      <c r="K77" s="223"/>
      <c r="L77" s="112"/>
      <c r="N77" s="113"/>
    </row>
    <row r="78" spans="1:14" ht="17.25" thickBot="1" x14ac:dyDescent="0.35">
      <c r="A78" s="112"/>
      <c r="B78" s="211" t="s">
        <v>100</v>
      </c>
      <c r="C78" s="212">
        <v>0</v>
      </c>
      <c r="E78" s="113"/>
      <c r="F78" s="112"/>
      <c r="K78" s="113"/>
      <c r="L78" s="112"/>
      <c r="N78" s="113"/>
    </row>
    <row r="79" spans="1:14" x14ac:dyDescent="0.25">
      <c r="A79" s="112"/>
      <c r="E79" s="113"/>
      <c r="F79" s="112"/>
      <c r="K79" s="113"/>
      <c r="L79" s="112"/>
      <c r="N79" s="113"/>
    </row>
    <row r="80" spans="1:14" x14ac:dyDescent="0.25">
      <c r="A80" s="112"/>
      <c r="E80" s="113"/>
      <c r="F80" s="112"/>
      <c r="K80" s="113"/>
      <c r="L80" s="112"/>
      <c r="N80" s="113"/>
    </row>
    <row r="81" spans="1:14" x14ac:dyDescent="0.25">
      <c r="A81" s="112"/>
      <c r="E81" s="113"/>
      <c r="F81" s="112"/>
      <c r="G81" s="220"/>
      <c r="H81" s="220"/>
      <c r="I81" s="220"/>
      <c r="J81" s="220"/>
      <c r="K81" s="223"/>
      <c r="L81" s="112"/>
      <c r="N81" s="113"/>
    </row>
    <row r="82" spans="1:14" ht="15.75" thickBot="1" x14ac:dyDescent="0.3">
      <c r="A82" s="102"/>
      <c r="B82" s="115"/>
      <c r="C82" s="115"/>
      <c r="D82" s="115"/>
      <c r="E82" s="149"/>
      <c r="F82" s="112"/>
      <c r="K82" s="113"/>
      <c r="L82" s="112"/>
      <c r="N82" s="113"/>
    </row>
    <row r="83" spans="1:14" ht="23.25" x14ac:dyDescent="0.35">
      <c r="A83" s="224" t="str">
        <f>L5</f>
        <v>Punteggio Totale</v>
      </c>
      <c r="B83" s="225"/>
      <c r="C83" s="225"/>
      <c r="D83" s="226">
        <f t="shared" ref="D83" si="9">M5</f>
        <v>4</v>
      </c>
      <c r="E83" s="227"/>
      <c r="F83" s="112"/>
      <c r="K83" s="113"/>
      <c r="L83" s="112"/>
      <c r="N83" s="113"/>
    </row>
    <row r="84" spans="1:14" x14ac:dyDescent="0.25">
      <c r="A84" s="228"/>
      <c r="B84" s="221"/>
      <c r="C84" s="221"/>
      <c r="D84" s="221"/>
      <c r="E84" s="229"/>
      <c r="F84" s="112"/>
      <c r="G84" s="220"/>
      <c r="H84" s="220"/>
      <c r="I84" s="220"/>
      <c r="J84" s="220"/>
      <c r="K84" s="223"/>
      <c r="L84" s="112"/>
      <c r="N84" s="113"/>
    </row>
    <row r="85" spans="1:14" ht="18.600000000000001" customHeight="1" x14ac:dyDescent="0.25">
      <c r="A85" s="368" t="s">
        <v>191</v>
      </c>
      <c r="B85" s="369"/>
      <c r="C85" s="369"/>
      <c r="D85" s="366" t="str">
        <f>$A$2</f>
        <v>SO-03/C</v>
      </c>
      <c r="E85" s="367"/>
      <c r="F85" s="112"/>
      <c r="K85" s="113"/>
      <c r="L85" s="112"/>
      <c r="N85" s="113"/>
    </row>
    <row r="86" spans="1:14" ht="9" customHeight="1" x14ac:dyDescent="0.25">
      <c r="A86" s="368"/>
      <c r="B86" s="369"/>
      <c r="C86" s="369"/>
      <c r="D86" s="366"/>
      <c r="E86" s="367"/>
      <c r="F86" s="112"/>
      <c r="K86" s="113"/>
      <c r="L86" s="112"/>
      <c r="N86" s="113"/>
    </row>
    <row r="87" spans="1:14" x14ac:dyDescent="0.25">
      <c r="A87" s="230"/>
      <c r="B87" s="220"/>
      <c r="C87" s="220"/>
      <c r="D87" s="220"/>
      <c r="E87" s="223"/>
      <c r="F87" s="112"/>
      <c r="K87" s="113"/>
      <c r="L87" s="112"/>
      <c r="N87" s="113"/>
    </row>
    <row r="88" spans="1:14" x14ac:dyDescent="0.25">
      <c r="A88" s="228"/>
      <c r="B88" s="221"/>
      <c r="C88" s="221"/>
      <c r="D88" s="221"/>
      <c r="E88" s="229"/>
      <c r="F88" s="112"/>
      <c r="G88" s="220"/>
      <c r="H88" s="220"/>
      <c r="I88" s="220"/>
      <c r="J88" s="220"/>
      <c r="K88" s="223"/>
      <c r="L88" s="112"/>
      <c r="N88" s="113"/>
    </row>
    <row r="89" spans="1:14" ht="14.45" customHeight="1" x14ac:dyDescent="0.25">
      <c r="A89" s="368" t="s">
        <v>193</v>
      </c>
      <c r="B89" s="369"/>
      <c r="C89" s="369"/>
      <c r="D89" s="370" t="s">
        <v>22</v>
      </c>
      <c r="E89" s="371" t="s">
        <v>129</v>
      </c>
      <c r="F89" s="112"/>
      <c r="K89" s="113"/>
      <c r="L89" s="112"/>
      <c r="N89" s="113"/>
    </row>
    <row r="90" spans="1:14" ht="14.45" customHeight="1" x14ac:dyDescent="0.25">
      <c r="A90" s="368"/>
      <c r="B90" s="369"/>
      <c r="C90" s="369"/>
      <c r="D90" s="370"/>
      <c r="E90" s="371"/>
      <c r="F90" s="112"/>
      <c r="L90" s="112"/>
      <c r="N90" s="113"/>
    </row>
    <row r="91" spans="1:14" ht="15.75" thickBot="1" x14ac:dyDescent="0.3">
      <c r="A91" s="102"/>
      <c r="B91" s="115"/>
      <c r="C91" s="115"/>
      <c r="D91" s="115"/>
      <c r="E91" s="149"/>
      <c r="F91" s="112"/>
      <c r="K91" s="113"/>
      <c r="L91" s="112"/>
      <c r="N91" s="113"/>
    </row>
    <row r="92" spans="1:14" x14ac:dyDescent="0.25">
      <c r="A92" s="95"/>
      <c r="B92" s="96"/>
      <c r="C92" s="96"/>
      <c r="D92" s="96"/>
      <c r="E92" s="138"/>
      <c r="F92" s="112"/>
      <c r="G92" s="220"/>
      <c r="H92" s="220"/>
      <c r="I92" s="220"/>
      <c r="J92" s="220"/>
      <c r="K92" s="223"/>
      <c r="N92" s="113"/>
    </row>
    <row r="93" spans="1:14" x14ac:dyDescent="0.25">
      <c r="A93" s="112"/>
      <c r="E93" s="113"/>
      <c r="K93" s="113"/>
      <c r="N93" s="113"/>
    </row>
    <row r="94" spans="1:14" ht="15.75" x14ac:dyDescent="0.25">
      <c r="A94" s="235" t="s">
        <v>190</v>
      </c>
      <c r="B94" s="220"/>
      <c r="C94" s="220"/>
      <c r="D94" s="220"/>
      <c r="E94" s="113"/>
      <c r="K94" s="113"/>
      <c r="N94" s="113"/>
    </row>
    <row r="95" spans="1:14" ht="15.75" x14ac:dyDescent="0.25">
      <c r="A95" s="235"/>
      <c r="E95" s="113"/>
      <c r="K95" s="113"/>
      <c r="N95" s="113"/>
    </row>
    <row r="96" spans="1:14" ht="15.75" x14ac:dyDescent="0.25">
      <c r="A96" s="235"/>
      <c r="E96" s="113"/>
      <c r="G96" s="220"/>
      <c r="H96" s="220"/>
      <c r="I96" s="220"/>
      <c r="J96" s="220"/>
      <c r="K96" s="223"/>
      <c r="N96" s="113"/>
    </row>
    <row r="97" spans="1:14" ht="15.75" x14ac:dyDescent="0.25">
      <c r="A97" s="235"/>
      <c r="E97" s="113"/>
      <c r="K97" s="113"/>
      <c r="N97" s="113"/>
    </row>
    <row r="98" spans="1:14" ht="15.75" x14ac:dyDescent="0.25">
      <c r="A98" s="235" t="s">
        <v>187</v>
      </c>
      <c r="B98" s="220"/>
      <c r="C98" s="220"/>
      <c r="D98" s="220"/>
      <c r="E98" s="113"/>
      <c r="K98" s="113"/>
      <c r="N98" s="113"/>
    </row>
    <row r="99" spans="1:14" ht="15.75" x14ac:dyDescent="0.25">
      <c r="A99" s="235"/>
      <c r="E99" s="113"/>
      <c r="K99" s="113"/>
      <c r="N99" s="113"/>
    </row>
    <row r="100" spans="1:14" ht="15.75" x14ac:dyDescent="0.25">
      <c r="A100" s="235"/>
      <c r="E100" s="113"/>
      <c r="G100" s="220"/>
      <c r="H100" s="220"/>
      <c r="I100" s="220"/>
      <c r="J100" s="220"/>
      <c r="K100" s="223"/>
      <c r="N100" s="113"/>
    </row>
    <row r="101" spans="1:14" ht="15.75" x14ac:dyDescent="0.25">
      <c r="A101" s="235"/>
      <c r="E101" s="113"/>
      <c r="K101" s="113"/>
      <c r="N101" s="113"/>
    </row>
    <row r="102" spans="1:14" ht="15.75" x14ac:dyDescent="0.25">
      <c r="A102" s="235" t="s">
        <v>188</v>
      </c>
      <c r="B102" s="220"/>
      <c r="C102" s="220"/>
      <c r="D102" s="220"/>
      <c r="E102" s="113"/>
      <c r="K102" s="113"/>
      <c r="N102" s="113"/>
    </row>
    <row r="103" spans="1:14" ht="15.75" x14ac:dyDescent="0.25">
      <c r="A103" s="235"/>
      <c r="E103" s="113"/>
      <c r="K103" s="113"/>
      <c r="N103" s="113"/>
    </row>
    <row r="104" spans="1:14" ht="15.75" x14ac:dyDescent="0.25">
      <c r="A104" s="235"/>
      <c r="E104" s="113"/>
      <c r="K104" s="113"/>
      <c r="N104" s="113"/>
    </row>
    <row r="105" spans="1:14" ht="15.75" x14ac:dyDescent="0.25">
      <c r="A105" s="235"/>
      <c r="E105" s="113"/>
      <c r="K105" s="113"/>
      <c r="N105" s="113"/>
    </row>
    <row r="106" spans="1:14" ht="15.75" x14ac:dyDescent="0.25">
      <c r="A106" s="235" t="s">
        <v>185</v>
      </c>
      <c r="B106" s="220"/>
      <c r="C106" s="220"/>
      <c r="D106" s="220"/>
      <c r="E106" s="113"/>
      <c r="K106" s="113"/>
      <c r="N106" s="113"/>
    </row>
    <row r="107" spans="1:14" ht="15.75" x14ac:dyDescent="0.25">
      <c r="A107" s="235"/>
      <c r="E107" s="113"/>
      <c r="K107" s="113"/>
      <c r="N107" s="113"/>
    </row>
    <row r="108" spans="1:14" ht="15.75" x14ac:dyDescent="0.25">
      <c r="A108" s="235"/>
      <c r="E108" s="113"/>
      <c r="K108" s="113"/>
      <c r="N108" s="113"/>
    </row>
    <row r="109" spans="1:14" ht="15.75" x14ac:dyDescent="0.25">
      <c r="A109" s="235"/>
      <c r="E109" s="113"/>
      <c r="K109" s="113"/>
      <c r="N109" s="113"/>
    </row>
    <row r="110" spans="1:14" ht="15.75" x14ac:dyDescent="0.25">
      <c r="A110" s="235" t="s">
        <v>186</v>
      </c>
      <c r="B110" s="220"/>
      <c r="C110" s="220"/>
      <c r="D110" s="220"/>
      <c r="E110" s="113"/>
      <c r="K110" s="113"/>
      <c r="N110" s="113"/>
    </row>
    <row r="111" spans="1:14" ht="15.75" x14ac:dyDescent="0.25">
      <c r="A111" s="235"/>
      <c r="E111" s="113"/>
      <c r="K111" s="113"/>
      <c r="L111" s="112"/>
      <c r="N111" s="113"/>
    </row>
    <row r="112" spans="1:14" ht="15.75" x14ac:dyDescent="0.25">
      <c r="A112" s="235"/>
      <c r="E112" s="113"/>
      <c r="K112" s="113"/>
      <c r="L112" s="112"/>
      <c r="N112" s="113"/>
    </row>
    <row r="113" spans="1:14" ht="15.75" x14ac:dyDescent="0.25">
      <c r="A113" s="235"/>
      <c r="E113" s="113"/>
      <c r="K113" s="113"/>
      <c r="L113" s="112"/>
      <c r="N113" s="113"/>
    </row>
    <row r="114" spans="1:14" ht="15.75" x14ac:dyDescent="0.25">
      <c r="A114" s="235" t="s">
        <v>189</v>
      </c>
      <c r="B114" s="220"/>
      <c r="C114" s="220"/>
      <c r="D114" s="220"/>
      <c r="E114" s="113"/>
      <c r="K114" s="113"/>
      <c r="L114" s="112"/>
      <c r="N114" s="113"/>
    </row>
    <row r="115" spans="1:14" x14ac:dyDescent="0.25">
      <c r="A115" s="112"/>
      <c r="E115" s="113"/>
      <c r="K115" s="113"/>
      <c r="L115" s="112"/>
      <c r="N115" s="113"/>
    </row>
    <row r="116" spans="1:14" ht="15.75" thickBot="1" x14ac:dyDescent="0.3">
      <c r="A116" s="102"/>
      <c r="B116" s="115"/>
      <c r="C116" s="115"/>
      <c r="D116" s="115"/>
      <c r="E116" s="149"/>
      <c r="F116" s="115"/>
      <c r="G116" s="115"/>
      <c r="H116" s="115"/>
      <c r="I116" s="115"/>
      <c r="J116" s="115"/>
      <c r="K116" s="149"/>
      <c r="L116" s="102"/>
      <c r="M116" s="115"/>
      <c r="N116" s="149"/>
    </row>
  </sheetData>
  <sheetProtection algorithmName="SHA-512" hashValue="UaKxyW8KCGmbQc5vSX5ZwXj5mlTDQwN/T8MV0pvzkRbXsFFXxEVVU+t9n9XJsBO7pJ/dyhXQZol12fdwjP5uPw==" saltValue="lKyj8L5Mv2vIVShRJVcjUA==" spinCount="100000" sheet="1" objects="1" scenarios="1"/>
  <mergeCells count="38">
    <mergeCell ref="H61:J62"/>
    <mergeCell ref="D85:E86"/>
    <mergeCell ref="A89:C90"/>
    <mergeCell ref="D89:D90"/>
    <mergeCell ref="E89:E90"/>
    <mergeCell ref="A85:C86"/>
    <mergeCell ref="B34:E34"/>
    <mergeCell ref="B35:E35"/>
    <mergeCell ref="C7:E7"/>
    <mergeCell ref="C9:E9"/>
    <mergeCell ref="B50:H50"/>
    <mergeCell ref="B37:E37"/>
    <mergeCell ref="B38:E38"/>
    <mergeCell ref="B39:E39"/>
    <mergeCell ref="B40:E40"/>
    <mergeCell ref="B41:E41"/>
    <mergeCell ref="B42:E42"/>
    <mergeCell ref="B43:E43"/>
    <mergeCell ref="B46:H46"/>
    <mergeCell ref="B47:H47"/>
    <mergeCell ref="B48:H48"/>
    <mergeCell ref="B49:H49"/>
    <mergeCell ref="C10:E10"/>
    <mergeCell ref="C11:E11"/>
    <mergeCell ref="C8:E8"/>
    <mergeCell ref="A2:B4"/>
    <mergeCell ref="B36:E36"/>
    <mergeCell ref="A5:I5"/>
    <mergeCell ref="D21:I21"/>
    <mergeCell ref="D22:I22"/>
    <mergeCell ref="B28:E28"/>
    <mergeCell ref="B29:E29"/>
    <mergeCell ref="B30:E30"/>
    <mergeCell ref="C12:E12"/>
    <mergeCell ref="C13:E13"/>
    <mergeCell ref="B31:E31"/>
    <mergeCell ref="B32:E32"/>
    <mergeCell ref="B33:E33"/>
  </mergeCells>
  <printOptions horizontalCentered="1" verticalCentered="1"/>
  <pageMargins left="0.70866141732283472" right="0.70866141732283472" top="0.15748031496062992" bottom="0.55118110236220474" header="0.31496062992125984" footer="0.31496062992125984"/>
  <pageSetup paperSize="8" scale="33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3"/>
  <sheetViews>
    <sheetView zoomScale="145" zoomScaleNormal="145" workbookViewId="0">
      <selection activeCell="A3" sqref="A3"/>
    </sheetView>
  </sheetViews>
  <sheetFormatPr defaultRowHeight="15" x14ac:dyDescent="0.25"/>
  <cols>
    <col min="1" max="1" width="6.28515625" customWidth="1"/>
    <col min="2" max="2" width="17.42578125" bestFit="1" customWidth="1"/>
  </cols>
  <sheetData>
    <row r="1" spans="1:3" ht="23.25" x14ac:dyDescent="0.35">
      <c r="A1" s="240" t="s">
        <v>229</v>
      </c>
      <c r="B1" s="238"/>
    </row>
    <row r="2" spans="1:3" x14ac:dyDescent="0.25">
      <c r="A2" s="238"/>
      <c r="B2" s="238"/>
    </row>
    <row r="3" spans="1:3" ht="15.75" x14ac:dyDescent="0.25">
      <c r="A3">
        <v>1</v>
      </c>
      <c r="B3" s="239" t="s">
        <v>230</v>
      </c>
      <c r="C3" t="s">
        <v>231</v>
      </c>
    </row>
    <row r="4" spans="1:3" ht="15.75" x14ac:dyDescent="0.25">
      <c r="B4" s="239"/>
    </row>
    <row r="5" spans="1:3" ht="23.25" x14ac:dyDescent="0.35">
      <c r="A5" s="240" t="s">
        <v>226</v>
      </c>
      <c r="B5" s="238"/>
    </row>
    <row r="6" spans="1:3" x14ac:dyDescent="0.25">
      <c r="A6" s="238"/>
      <c r="B6" s="238"/>
    </row>
    <row r="7" spans="1:3" ht="15.75" x14ac:dyDescent="0.25">
      <c r="A7">
        <v>1</v>
      </c>
      <c r="B7" s="239" t="s">
        <v>227</v>
      </c>
      <c r="C7" t="s">
        <v>228</v>
      </c>
    </row>
    <row r="8" spans="1:3" ht="15.75" x14ac:dyDescent="0.25">
      <c r="B8" s="239"/>
    </row>
    <row r="9" spans="1:3" ht="23.25" x14ac:dyDescent="0.35">
      <c r="A9" s="240" t="s">
        <v>223</v>
      </c>
      <c r="B9" s="238"/>
    </row>
    <row r="10" spans="1:3" x14ac:dyDescent="0.25">
      <c r="A10" s="238"/>
      <c r="B10" s="238"/>
    </row>
    <row r="11" spans="1:3" x14ac:dyDescent="0.25">
      <c r="A11" s="238"/>
      <c r="B11" s="238" t="s">
        <v>217</v>
      </c>
    </row>
    <row r="12" spans="1:3" x14ac:dyDescent="0.25">
      <c r="A12" s="238">
        <v>1</v>
      </c>
      <c r="B12" s="238" t="s">
        <v>220</v>
      </c>
      <c r="C12" t="s">
        <v>224</v>
      </c>
    </row>
    <row r="13" spans="1:3" x14ac:dyDescent="0.25">
      <c r="A13" s="238"/>
      <c r="B13" s="238"/>
      <c r="C13" t="s">
        <v>225</v>
      </c>
    </row>
    <row r="14" spans="1:3" x14ac:dyDescent="0.25">
      <c r="A14" s="238"/>
      <c r="B14" s="238"/>
    </row>
    <row r="15" spans="1:3" ht="15.75" x14ac:dyDescent="0.25">
      <c r="B15" s="239" t="s">
        <v>200</v>
      </c>
    </row>
    <row r="16" spans="1:3" ht="15.75" x14ac:dyDescent="0.25">
      <c r="A16">
        <v>1</v>
      </c>
      <c r="B16" s="239" t="s">
        <v>221</v>
      </c>
      <c r="C16" t="s">
        <v>222</v>
      </c>
    </row>
    <row r="17" spans="1:3" ht="15.75" x14ac:dyDescent="0.25">
      <c r="B17" s="239"/>
    </row>
    <row r="18" spans="1:3" ht="23.25" x14ac:dyDescent="0.35">
      <c r="A18" s="240" t="s">
        <v>195</v>
      </c>
      <c r="B18" s="238"/>
    </row>
    <row r="19" spans="1:3" x14ac:dyDescent="0.25">
      <c r="A19" s="238"/>
      <c r="B19" s="238"/>
    </row>
    <row r="20" spans="1:3" x14ac:dyDescent="0.25">
      <c r="A20" s="238"/>
      <c r="B20" s="238" t="s">
        <v>217</v>
      </c>
    </row>
    <row r="21" spans="1:3" x14ac:dyDescent="0.25">
      <c r="A21" s="238">
        <v>1</v>
      </c>
      <c r="B21" s="238" t="s">
        <v>208</v>
      </c>
      <c r="C21" t="s">
        <v>209</v>
      </c>
    </row>
    <row r="22" spans="1:3" x14ac:dyDescent="0.25">
      <c r="A22" s="238"/>
      <c r="B22" s="238"/>
    </row>
    <row r="23" spans="1:3" ht="15.75" x14ac:dyDescent="0.25">
      <c r="B23" s="239" t="s">
        <v>200</v>
      </c>
    </row>
    <row r="25" spans="1:3" x14ac:dyDescent="0.25">
      <c r="A25">
        <v>1</v>
      </c>
      <c r="B25" s="238" t="s">
        <v>201</v>
      </c>
      <c r="C25" t="s">
        <v>218</v>
      </c>
    </row>
    <row r="26" spans="1:3" x14ac:dyDescent="0.25">
      <c r="A26">
        <v>2</v>
      </c>
      <c r="B26" s="238" t="s">
        <v>202</v>
      </c>
      <c r="C26" t="s">
        <v>197</v>
      </c>
    </row>
    <row r="27" spans="1:3" x14ac:dyDescent="0.25">
      <c r="A27">
        <v>3</v>
      </c>
      <c r="B27" s="238" t="s">
        <v>203</v>
      </c>
      <c r="C27" t="s">
        <v>198</v>
      </c>
    </row>
    <row r="28" spans="1:3" x14ac:dyDescent="0.25">
      <c r="A28">
        <v>4</v>
      </c>
      <c r="B28" s="238" t="s">
        <v>204</v>
      </c>
      <c r="C28" t="s">
        <v>196</v>
      </c>
    </row>
    <row r="29" spans="1:3" x14ac:dyDescent="0.25">
      <c r="A29">
        <v>5</v>
      </c>
      <c r="B29" s="238" t="s">
        <v>205</v>
      </c>
      <c r="C29" t="s">
        <v>199</v>
      </c>
    </row>
    <row r="30" spans="1:3" x14ac:dyDescent="0.25">
      <c r="A30">
        <v>6</v>
      </c>
      <c r="B30" s="238" t="s">
        <v>206</v>
      </c>
      <c r="C30" t="s">
        <v>207</v>
      </c>
    </row>
    <row r="31" spans="1:3" x14ac:dyDescent="0.25">
      <c r="A31">
        <v>7</v>
      </c>
      <c r="B31" s="238" t="s">
        <v>211</v>
      </c>
      <c r="C31" t="s">
        <v>212</v>
      </c>
    </row>
    <row r="32" spans="1:3" x14ac:dyDescent="0.25">
      <c r="A32">
        <v>8</v>
      </c>
      <c r="B32" s="238" t="s">
        <v>213</v>
      </c>
      <c r="C32" t="s">
        <v>214</v>
      </c>
    </row>
    <row r="33" spans="1:3" x14ac:dyDescent="0.25">
      <c r="A33">
        <v>9</v>
      </c>
      <c r="B33" s="238" t="s">
        <v>215</v>
      </c>
      <c r="C33" t="s">
        <v>216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elencoschede</vt:lpstr>
      <vt:lpstr>schede</vt:lpstr>
      <vt:lpstr>Offerta tecnica</vt:lpstr>
      <vt:lpstr>Punteggi</vt:lpstr>
      <vt:lpstr>CHANGELOG</vt:lpstr>
      <vt:lpstr>_lotti</vt:lpstr>
      <vt:lpstr>_postazioni</vt:lpstr>
      <vt:lpstr>_postazioni5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Zambroni</dc:creator>
  <cp:lastModifiedBy>Alex Zambroni</cp:lastModifiedBy>
  <cp:lastPrinted>2020-12-15T17:25:07Z</cp:lastPrinted>
  <dcterms:created xsi:type="dcterms:W3CDTF">2020-11-04T09:12:22Z</dcterms:created>
  <dcterms:modified xsi:type="dcterms:W3CDTF">2023-10-20T08:28:07Z</dcterms:modified>
</cp:coreProperties>
</file>